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9A34E132-F7F4-40E0-B5D7-C94D2C175FC0}" xr6:coauthVersionLast="47" xr6:coauthVersionMax="47" xr10:uidLastSave="{00000000-0000-0000-0000-000000000000}"/>
  <bookViews>
    <workbookView xWindow="-27068" yWindow="-4628" windowWidth="22890" windowHeight="14790" tabRatio="923" activeTab="11" xr2:uid="{00000000-000D-0000-FFFF-FFFF00000000}"/>
  </bookViews>
  <sheets>
    <sheet name="Cover Page" sheetId="67" r:id="rId1"/>
    <sheet name="ToC" sheetId="100" r:id="rId2"/>
    <sheet name="Formatting and References" sheetId="101" r:id="rId3"/>
    <sheet name="1-BaseTRR" sheetId="1" r:id="rId4"/>
    <sheet name="2-ITRR" sheetId="2" r:id="rId5"/>
    <sheet name="3-True-upTRR Corrected V1" sheetId="47" r:id="rId6"/>
    <sheet name="3-True-upTRR Original" sheetId="107" r:id="rId7"/>
    <sheet name="4-ATA Corrected V1" sheetId="5" r:id="rId8"/>
    <sheet name="4-ATA Original" sheetId="108" r:id="rId9"/>
    <sheet name="5-CostofCap-1 Corrected V1" sheetId="68" r:id="rId10"/>
    <sheet name="5-CostofCap-1 Original" sheetId="109" r:id="rId11"/>
    <sheet name="5-CostofCap-2 Corrected V1" sheetId="69" r:id="rId12"/>
    <sheet name="5-CostofCap-2 Original" sheetId="110" r:id="rId13"/>
    <sheet name="5-CostofCap-3" sheetId="70" r:id="rId14"/>
    <sheet name="5-CostofCap-4" sheetId="71" r:id="rId15"/>
    <sheet name="6-PlantJurisdiction" sheetId="72" r:id="rId16"/>
    <sheet name="7-PlantInService" sheetId="73" r:id="rId17"/>
    <sheet name="8-AbandonedPlant" sheetId="102" r:id="rId18"/>
    <sheet name="9-PlantAdditions" sheetId="75" r:id="rId19"/>
    <sheet name="10-AccDep" sheetId="76" r:id="rId20"/>
    <sheet name="11-Depreciation" sheetId="77" r:id="rId21"/>
    <sheet name="12-DepRates" sheetId="78" r:id="rId22"/>
    <sheet name="13-WorkCap" sheetId="79" r:id="rId23"/>
    <sheet name="14-ADIT" sheetId="80" r:id="rId24"/>
    <sheet name="15-NUC" sheetId="81" r:id="rId25"/>
    <sheet name="16-UnfundedReserves CorrectedV1" sheetId="82" r:id="rId26"/>
    <sheet name="16-UnfundedReserves Original" sheetId="111" r:id="rId27"/>
    <sheet name="17-RegAssets-1" sheetId="83" r:id="rId28"/>
    <sheet name="17-RegAssets-2" sheetId="103" r:id="rId29"/>
    <sheet name="17-RegAssets-3" sheetId="104" r:id="rId30"/>
    <sheet name="18-OandM" sheetId="84" r:id="rId31"/>
    <sheet name="19-AandG Corrected V1" sheetId="85" r:id="rId32"/>
    <sheet name="19-AandG original" sheetId="113" r:id="rId33"/>
    <sheet name="20-RevenueCredits Corrected V1" sheetId="86" r:id="rId34"/>
    <sheet name="20-RevenueCredits Original" sheetId="112" r:id="rId35"/>
    <sheet name="21-NPandS" sheetId="87" r:id="rId36"/>
    <sheet name="22-TaxRates" sheetId="88" r:id="rId37"/>
    <sheet name="23-RetailSGTax" sheetId="89" r:id="rId38"/>
    <sheet name="24-Allocators" sheetId="90" r:id="rId39"/>
    <sheet name="25-RFandUFactors" sheetId="91" r:id="rId40"/>
    <sheet name="26-WholesaleTRRs" sheetId="92" r:id="rId41"/>
    <sheet name="27-WholesaleRates" sheetId="93" r:id="rId42"/>
    <sheet name="28-GrossLoad" sheetId="94" r:id="rId43"/>
    <sheet name="29-RetailRates-1" sheetId="105" r:id="rId44"/>
    <sheet name="29-RetailRates-2" sheetId="106" r:id="rId45"/>
  </sheets>
  <externalReferences>
    <externalReference r:id="rId46"/>
    <externalReference r:id="rId47"/>
  </externalReferences>
  <definedNames>
    <definedName name="\a" localSheetId="29">#REF!</definedName>
    <definedName name="\a">#REF!</definedName>
    <definedName name="\b" localSheetId="29">#REF!</definedName>
    <definedName name="\b">#REF!</definedName>
    <definedName name="\x" localSheetId="29">#REF!</definedName>
    <definedName name="\x">#REF!</definedName>
    <definedName name="___huh2" localSheetId="29" hidden="1">{#N/A,#N/A,FALSE,"Dist Rev at PR ";#N/A,#N/A,FALSE,"Spec";#N/A,#N/A,FALSE,"Res";#N/A,#N/A,FALSE,"Small L&amp;P";#N/A,#N/A,FALSE,"Medium L&amp;P";#N/A,#N/A,FALSE,"E-19";#N/A,#N/A,FALSE,"E-20";#N/A,#N/A,FALSE,"Strtlts &amp; Standby";#N/A,#N/A,FALSE,"A-RTP";#N/A,#N/A,FALSE,"2003mixeduse"}</definedName>
    <definedName name="___huh2" localSheetId="17" hidden="1">{#N/A,#N/A,FALSE,"Dist Rev at PR ";#N/A,#N/A,FALSE,"Spec";#N/A,#N/A,FALSE,"Res";#N/A,#N/A,FALSE,"Small L&amp;P";#N/A,#N/A,FALSE,"Medium L&amp;P";#N/A,#N/A,FALSE,"E-19";#N/A,#N/A,FALSE,"E-20";#N/A,#N/A,FALSE,"Strtlts &amp; Standby";#N/A,#N/A,FALSE,"A-RTP";#N/A,#N/A,FALSE,"2003mixeduse"}</definedName>
    <definedName name="___huh2" hidden="1">{#N/A,#N/A,FALSE,"Dist Rev at PR ";#N/A,#N/A,FALSE,"Spec";#N/A,#N/A,FALSE,"Res";#N/A,#N/A,FALSE,"Small L&amp;P";#N/A,#N/A,FALSE,"Medium L&amp;P";#N/A,#N/A,FALSE,"E-19";#N/A,#N/A,FALSE,"E-20";#N/A,#N/A,FALSE,"Strtlts &amp; Standby";#N/A,#N/A,FALSE,"A-RTP";#N/A,#N/A,FALSE,"2003mixeduse"}</definedName>
    <definedName name="__123Graph_A" localSheetId="13" hidden="1">#REF!</definedName>
    <definedName name="__123Graph_AGRAPH" localSheetId="13" hidden="1">#REF!</definedName>
    <definedName name="__123Graph_AGRS" localSheetId="13" hidden="1">#REF!</definedName>
    <definedName name="__123Graph_B" localSheetId="13" hidden="1">#REF!</definedName>
    <definedName name="__123Graph_BGRAPH" localSheetId="13" hidden="1">#REF!</definedName>
    <definedName name="__123Graph_BGRS" localSheetId="13" hidden="1">#REF!</definedName>
    <definedName name="__123Graph_C" localSheetId="13" hidden="1">#REF!</definedName>
    <definedName name="__123Graph_CGRAPH" localSheetId="13" hidden="1">#REF!</definedName>
    <definedName name="__123Graph_CGRS" localSheetId="13" hidden="1">#REF!</definedName>
    <definedName name="__123Graph_DGRAPH" localSheetId="13" hidden="1">#REF!</definedName>
    <definedName name="__123Graph_DGRS" localSheetId="13" hidden="1">#REF!</definedName>
    <definedName name="__123Graph_LBL_A" localSheetId="13" hidden="1">#REF!</definedName>
    <definedName name="__123Graph_LBL_EGRAPH" localSheetId="13" hidden="1">#REF!</definedName>
    <definedName name="__123Graph_LBL_EGRS" localSheetId="13" hidden="1">#REF!</definedName>
    <definedName name="__123Graph_X" localSheetId="13" hidden="1">#REF!</definedName>
    <definedName name="__foo1" localSheetId="29"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2" localSheetId="29"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3" localSheetId="29" hidden="1">{#N/A,#N/A,FALSE,"Res - Unadj";#N/A,#N/A,FALSE,"Small L&amp;P";#N/A,#N/A,FALSE,"Medium L&amp;P";#N/A,#N/A,FALSE,"E-19";#N/A,#N/A,FALSE,"E-20";#N/A,#N/A,FALSE,"A-RTP";#N/A,#N/A,FALSE,"Strtlts &amp; Standby";#N/A,#N/A,FALSE,"AG";#N/A,#N/A,FALSE,"2001mixeduse"}</definedName>
    <definedName name="__foo3" hidden="1">{#N/A,#N/A,FALSE,"Res - Unadj";#N/A,#N/A,FALSE,"Small L&amp;P";#N/A,#N/A,FALSE,"Medium L&amp;P";#N/A,#N/A,FALSE,"E-19";#N/A,#N/A,FALSE,"E-20";#N/A,#N/A,FALSE,"A-RTP";#N/A,#N/A,FALSE,"Strtlts &amp; Standby";#N/A,#N/A,FALSE,"AG";#N/A,#N/A,FALSE,"2001mixeduse"}</definedName>
    <definedName name="__foo4" localSheetId="29" hidden="1">{"Summary","1",FALSE,"Summary"}</definedName>
    <definedName name="__foo4" hidden="1">{"Summary","1",FALSE,"Summary"}</definedName>
    <definedName name="__FPMExcelClient_CellBasedFunctionStatus" localSheetId="31">"2_1_2_2_2_2"</definedName>
    <definedName name="__FPMExcelClient_CellBasedFunctionStatus" localSheetId="32">"2_1_2_2_2_2"</definedName>
    <definedName name="_bdm.DA90C587C9374C5A8F37C549C9BCDD3D.edm" localSheetId="19" hidden="1">#REF!</definedName>
    <definedName name="_bdm.DA90C587C9374C5A8F37C549C9BCDD3D.edm" localSheetId="20" hidden="1">#REF!</definedName>
    <definedName name="_bdm.DA90C587C9374C5A8F37C549C9BCDD3D.edm" localSheetId="21" hidden="1">#REF!</definedName>
    <definedName name="_bdm.DA90C587C9374C5A8F37C549C9BCDD3D.edm" localSheetId="22" hidden="1">#REF!</definedName>
    <definedName name="_bdm.DA90C587C9374C5A8F37C549C9BCDD3D.edm" localSheetId="23" hidden="1">#REF!</definedName>
    <definedName name="_bdm.DA90C587C9374C5A8F37C549C9BCDD3D.edm" localSheetId="24" hidden="1">#REF!</definedName>
    <definedName name="_bdm.DA90C587C9374C5A8F37C549C9BCDD3D.edm" localSheetId="25" hidden="1">#REF!</definedName>
    <definedName name="_bdm.DA90C587C9374C5A8F37C549C9BCDD3D.edm" localSheetId="26" hidden="1">#REF!</definedName>
    <definedName name="_bdm.DA90C587C9374C5A8F37C549C9BCDD3D.edm" localSheetId="27" hidden="1">#REF!</definedName>
    <definedName name="_bdm.DA90C587C9374C5A8F37C549C9BCDD3D.edm" localSheetId="30" hidden="1">#REF!</definedName>
    <definedName name="_bdm.DA90C587C9374C5A8F37C549C9BCDD3D.edm" localSheetId="33" hidden="1">#REF!</definedName>
    <definedName name="_bdm.DA90C587C9374C5A8F37C549C9BCDD3D.edm" localSheetId="34" hidden="1">#REF!</definedName>
    <definedName name="_bdm.DA90C587C9374C5A8F37C549C9BCDD3D.edm" localSheetId="35" hidden="1">#REF!</definedName>
    <definedName name="_bdm.DA90C587C9374C5A8F37C549C9BCDD3D.edm" localSheetId="36" hidden="1">#REF!</definedName>
    <definedName name="_bdm.DA90C587C9374C5A8F37C549C9BCDD3D.edm" localSheetId="37" hidden="1">#REF!</definedName>
    <definedName name="_bdm.DA90C587C9374C5A8F37C549C9BCDD3D.edm" localSheetId="38" hidden="1">#REF!</definedName>
    <definedName name="_bdm.DA90C587C9374C5A8F37C549C9BCDD3D.edm" localSheetId="39" hidden="1">#REF!</definedName>
    <definedName name="_bdm.DA90C587C9374C5A8F37C549C9BCDD3D.edm" localSheetId="40" hidden="1">#REF!</definedName>
    <definedName name="_bdm.DA90C587C9374C5A8F37C549C9BCDD3D.edm" localSheetId="41" hidden="1">#REF!</definedName>
    <definedName name="_bdm.DA90C587C9374C5A8F37C549C9BCDD3D.edm" localSheetId="42" hidden="1">#REF!</definedName>
    <definedName name="_bdm.DA90C587C9374C5A8F37C549C9BCDD3D.edm" localSheetId="5" hidden="1">#REF!</definedName>
    <definedName name="_bdm.DA90C587C9374C5A8F37C549C9BCDD3D.edm" localSheetId="6" hidden="1">#REF!</definedName>
    <definedName name="_bdm.DA90C587C9374C5A8F37C549C9BCDD3D.edm" localSheetId="9" hidden="1">#REF!</definedName>
    <definedName name="_bdm.DA90C587C9374C5A8F37C549C9BCDD3D.edm" localSheetId="10" hidden="1">#REF!</definedName>
    <definedName name="_bdm.DA90C587C9374C5A8F37C549C9BCDD3D.edm" localSheetId="11" hidden="1">#REF!</definedName>
    <definedName name="_bdm.DA90C587C9374C5A8F37C549C9BCDD3D.edm" localSheetId="12" hidden="1">#REF!</definedName>
    <definedName name="_bdm.DA90C587C9374C5A8F37C549C9BCDD3D.edm" localSheetId="13" hidden="1">#REF!</definedName>
    <definedName name="_bdm.DA90C587C9374C5A8F37C549C9BCDD3D.edm" localSheetId="15" hidden="1">#REF!</definedName>
    <definedName name="_bdm.DA90C587C9374C5A8F37C549C9BCDD3D.edm" localSheetId="16" hidden="1">#REF!</definedName>
    <definedName name="_bdm.DA90C587C9374C5A8F37C549C9BCDD3D.edm" localSheetId="17" hidden="1">#REF!</definedName>
    <definedName name="_bdm.DA90C587C9374C5A8F37C549C9BCDD3D.edm" localSheetId="18" hidden="1">#REF!</definedName>
    <definedName name="_bdm.DA90C587C9374C5A8F37C549C9BCDD3D.edm" hidden="1">#REF!</definedName>
    <definedName name="_Fill" hidden="1">#REF!</definedName>
    <definedName name="_foo1" localSheetId="29"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2" localSheetId="29"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3" localSheetId="29" hidden="1">{#N/A,#N/A,FALSE,"Res - Unadj";#N/A,#N/A,FALSE,"Small L&amp;P";#N/A,#N/A,FALSE,"Medium L&amp;P";#N/A,#N/A,FALSE,"E-19";#N/A,#N/A,FALSE,"E-20";#N/A,#N/A,FALSE,"A-RTP";#N/A,#N/A,FALSE,"Strtlts &amp; Standby";#N/A,#N/A,FALSE,"AG";#N/A,#N/A,FALSE,"2001mixeduse"}</definedName>
    <definedName name="_foo3" hidden="1">{#N/A,#N/A,FALSE,"Res - Unadj";#N/A,#N/A,FALSE,"Small L&amp;P";#N/A,#N/A,FALSE,"Medium L&amp;P";#N/A,#N/A,FALSE,"E-19";#N/A,#N/A,FALSE,"E-20";#N/A,#N/A,FALSE,"A-RTP";#N/A,#N/A,FALSE,"Strtlts &amp; Standby";#N/A,#N/A,FALSE,"AG";#N/A,#N/A,FALSE,"2001mixeduse"}</definedName>
    <definedName name="_foo4" localSheetId="29" hidden="1">{"Summary","1",FALSE,"Summary"}</definedName>
    <definedName name="_foo4" hidden="1">{"Summary","1",FALSE,"Summary"}</definedName>
    <definedName name="_huh2" localSheetId="29" hidden="1">{#N/A,#N/A,FALSE,"Dist Rev at PR ";#N/A,#N/A,FALSE,"Spec";#N/A,#N/A,FALSE,"Res";#N/A,#N/A,FALSE,"Small L&amp;P";#N/A,#N/A,FALSE,"Medium L&amp;P";#N/A,#N/A,FALSE,"E-19";#N/A,#N/A,FALSE,"E-20";#N/A,#N/A,FALSE,"Strtlts &amp; Standby";#N/A,#N/A,FALSE,"A-RTP";#N/A,#N/A,FALSE,"2003mixeduse"}</definedName>
    <definedName name="_huh2" localSheetId="17" hidden="1">{#N/A,#N/A,FALSE,"Dist Rev at PR ";#N/A,#N/A,FALSE,"Spec";#N/A,#N/A,FALSE,"Res";#N/A,#N/A,FALSE,"Small L&amp;P";#N/A,#N/A,FALSE,"Medium L&amp;P";#N/A,#N/A,FALSE,"E-19";#N/A,#N/A,FALSE,"E-20";#N/A,#N/A,FALSE,"Strtlts &amp; Standby";#N/A,#N/A,FALSE,"A-RTP";#N/A,#N/A,FALSE,"2003mixeduse"}</definedName>
    <definedName name="_huh2" hidden="1">{#N/A,#N/A,FALSE,"Dist Rev at PR ";#N/A,#N/A,FALSE,"Spec";#N/A,#N/A,FALSE,"Res";#N/A,#N/A,FALSE,"Small L&amp;P";#N/A,#N/A,FALSE,"Medium L&amp;P";#N/A,#N/A,FALSE,"E-19";#N/A,#N/A,FALSE,"E-20";#N/A,#N/A,FALSE,"Strtlts &amp; Standby";#N/A,#N/A,FALSE,"A-RTP";#N/A,#N/A,FALSE,"2003mixeduse"}</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30" hidden="1">#REF!</definedName>
    <definedName name="_Key1" localSheetId="33" hidden="1">#REF!</definedName>
    <definedName name="_Key1" localSheetId="34" hidden="1">#REF!</definedName>
    <definedName name="_Key1" localSheetId="35" hidden="1">#REF!</definedName>
    <definedName name="_Key1" localSheetId="36" hidden="1">#REF!</definedName>
    <definedName name="_Key1" localSheetId="37" hidden="1">#REF!</definedName>
    <definedName name="_Key1" localSheetId="38" hidden="1">#REF!</definedName>
    <definedName name="_Key1" localSheetId="39" hidden="1">#REF!</definedName>
    <definedName name="_Key1" localSheetId="40" hidden="1">#REF!</definedName>
    <definedName name="_Key1" localSheetId="41" hidden="1">#REF!</definedName>
    <definedName name="_Key1" localSheetId="42" hidden="1">#REF!</definedName>
    <definedName name="_Key1" localSheetId="5" hidden="1">#REF!</definedName>
    <definedName name="_Key1" localSheetId="6"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3" hidden="1">#REF!</definedName>
    <definedName name="_Key2" localSheetId="24"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30" hidden="1">#REF!</definedName>
    <definedName name="_Key2" localSheetId="33" hidden="1">#REF!</definedName>
    <definedName name="_Key2" localSheetId="34" hidden="1">#REF!</definedName>
    <definedName name="_Key2" localSheetId="35" hidden="1">#REF!</definedName>
    <definedName name="_Key2" localSheetId="36" hidden="1">#REF!</definedName>
    <definedName name="_Key2" localSheetId="37" hidden="1">#REF!</definedName>
    <definedName name="_Key2" localSheetId="38" hidden="1">#REF!</definedName>
    <definedName name="_Key2" localSheetId="39" hidden="1">#REF!</definedName>
    <definedName name="_Key2" localSheetId="40" hidden="1">#REF!</definedName>
    <definedName name="_Key2" localSheetId="41" hidden="1">#REF!</definedName>
    <definedName name="_Key2" localSheetId="42" hidden="1">#REF!</definedName>
    <definedName name="_Key2" localSheetId="5" hidden="1">#REF!</definedName>
    <definedName name="_Key2" localSheetId="6"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hidden="1">#REF!</definedName>
    <definedName name="_L2" localSheetId="29" hidden="1">{"PI_Data",#N/A,TRUE,"P&amp;I Data"}</definedName>
    <definedName name="_L2" hidden="1">{"PI_Data",#N/A,TRUE,"P&amp;I Data"}</definedName>
    <definedName name="_m2" localSheetId="29" hidden="1">{"PI_Data",#N/A,TRUE,"P&amp;I Data"}</definedName>
    <definedName name="_m2" hidden="1">{"PI_Data",#N/A,TRUE,"P&amp;I Data"}</definedName>
    <definedName name="_Order1">255</definedName>
    <definedName name="_Order2">255</definedName>
    <definedName name="_p2" localSheetId="29" hidden="1">{"PI_Data",#N/A,TRUE,"P&amp;I Data"}</definedName>
    <definedName name="_p2" hidden="1">{"PI_Data",#N/A,TRUE,"P&amp;I Data"}</definedName>
    <definedName name="_Regression_Int">1</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30" hidden="1">#REF!</definedName>
    <definedName name="_Sort" localSheetId="33" hidden="1">#REF!</definedName>
    <definedName name="_Sort" localSheetId="34" hidden="1">#REF!</definedName>
    <definedName name="_Sort" localSheetId="35" hidden="1">#REF!</definedName>
    <definedName name="_Sort" localSheetId="36" hidden="1">#REF!</definedName>
    <definedName name="_Sort" localSheetId="37" hidden="1">#REF!</definedName>
    <definedName name="_Sort" localSheetId="38" hidden="1">#REF!</definedName>
    <definedName name="_Sort" localSheetId="39" hidden="1">#REF!</definedName>
    <definedName name="_Sort" localSheetId="40" hidden="1">#REF!</definedName>
    <definedName name="_Sort" localSheetId="41" hidden="1">#REF!</definedName>
    <definedName name="_Sort" localSheetId="42" hidden="1">#REF!</definedName>
    <definedName name="_Sort" localSheetId="5" hidden="1">#REF!</definedName>
    <definedName name="_Sort" localSheetId="6"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hidden="1">#REF!</definedName>
    <definedName name="_t2" localSheetId="29" hidden="1">{"PI_Data",#N/A,TRUE,"P&amp;I Data"}</definedName>
    <definedName name="_t2" hidden="1">{"PI_Data",#N/A,TRUE,"P&amp;I Data"}</definedName>
    <definedName name="a" localSheetId="29" hidden="1">{#N/A,#N/A,FALSE,"CTC Summary - EOY";#N/A,#N/A,FALSE,"CTC Summary - Wtavg"}</definedName>
    <definedName name="a" hidden="1">{#N/A,#N/A,FALSE,"CTC Summary - EOY";#N/A,#N/A,FALSE,"CTC Summary - Wtavg"}</definedName>
    <definedName name="ACCELERATED2" localSheetId="29" hidden="1">{#N/A,#N/A,FALSE,"CTC Summary - EOY";#N/A,#N/A,FALSE,"CTC Summary - Wtavg"}</definedName>
    <definedName name="ACCELERATED2" hidden="1">{#N/A,#N/A,FALSE,"CTC Summary - EOY";#N/A,#N/A,FALSE,"CTC Summary - Wtavg"}</definedName>
    <definedName name="ACCELLERATED1X" localSheetId="29" hidden="1">{#N/A,#N/A,FALSE,"CTC Summary - EOY";#N/A,#N/A,FALSE,"CTC Summary - Wtavg"}</definedName>
    <definedName name="ACCELLERATED1X" hidden="1">{#N/A,#N/A,FALSE,"CTC Summary - EOY";#N/A,#N/A,FALSE,"CTC Summary - Wtavg"}</definedName>
    <definedName name="again" localSheetId="29" hidden="1">{#N/A,#N/A,FALSE,"ND Rev at Pres Rates";#N/A,#N/A,FALSE,"Res - Unadj sales";#N/A,#N/A,FALSE,"Small L&amp;P";#N/A,#N/A,FALSE,"Medium L&amp;P";#N/A,#N/A,FALSE,"E-19";#N/A,#N/A,FALSE,"E-20";#N/A,#N/A,FALSE,"Strtlts &amp; Standby";#N/A,#N/A,FALSE,"AG";#N/A,#N/A,FALSE,"A-RTP";#N/A,#N/A,FALSE,"Spec"}</definedName>
    <definedName name="again" localSheetId="17" hidden="1">{#N/A,#N/A,FALSE,"ND Rev at Pres Rates";#N/A,#N/A,FALSE,"Res - Unadj sales";#N/A,#N/A,FALSE,"Small L&amp;P";#N/A,#N/A,FALSE,"Medium L&amp;P";#N/A,#N/A,FALSE,"E-19";#N/A,#N/A,FALSE,"E-20";#N/A,#N/A,FALSE,"Strtlts &amp; Standby";#N/A,#N/A,FALSE,"AG";#N/A,#N/A,FALSE,"A-RTP";#N/A,#N/A,FALSE,"Spec"}</definedName>
    <definedName name="again" hidden="1">{#N/A,#N/A,FALSE,"ND Rev at Pres Rates";#N/A,#N/A,FALSE,"Res - Unadj sales";#N/A,#N/A,FALSE,"Small L&amp;P";#N/A,#N/A,FALSE,"Medium L&amp;P";#N/A,#N/A,FALSE,"E-19";#N/A,#N/A,FALSE,"E-20";#N/A,#N/A,FALSE,"Strtlts &amp; Standby";#N/A,#N/A,FALSE,"AG";#N/A,#N/A,FALSE,"A-RTP";#N/A,#N/A,FALSE,"Spec"}</definedName>
    <definedName name="April" localSheetId="29" hidden="1">{#N/A,#N/A,FALSE,"CTC Summary - EOY";#N/A,#N/A,FALSE,"CTC Summary - Wtavg"}</definedName>
    <definedName name="April" hidden="1">{#N/A,#N/A,FALSE,"CTC Summary - EOY";#N/A,#N/A,FALSE,"CTC Summary - Wtavg"}</definedName>
    <definedName name="AS2DocOpenMode">"AS2DocumentEdit"</definedName>
    <definedName name="August" localSheetId="29" hidden="1">{#N/A,#N/A,FALSE,"CTC Summary - EOY";#N/A,#N/A,FALSE,"CTC Summary - Wtavg"}</definedName>
    <definedName name="August" hidden="1">{#N/A,#N/A,FALSE,"CTC Summary - EOY";#N/A,#N/A,FALSE,"CTC Summary - Wtavg"}</definedName>
    <definedName name="b" localSheetId="29" hidden="1">{#N/A,#N/A,FALSE,"CTC Summary - EOY";#N/A,#N/A,FALSE,"CTC Summary - Wtavg"}</definedName>
    <definedName name="b" hidden="1">{#N/A,#N/A,FALSE,"CTC Summary - EOY";#N/A,#N/A,FALSE,"CTC Summary - Wtavg"}</definedName>
    <definedName name="CIQWBGuid" hidden="1">"5c45d50c-fbb0-4040-9a33-7ec34da71b69"</definedName>
    <definedName name="copy" localSheetId="29" hidden="1">{#N/A,#N/A,FALSE,"Dist Rev at PR ";#N/A,#N/A,FALSE,"Spec";#N/A,#N/A,FALSE,"Res";#N/A,#N/A,FALSE,"Small L&amp;P";#N/A,#N/A,FALSE,"Medium L&amp;P";#N/A,#N/A,FALSE,"E-19";#N/A,#N/A,FALSE,"E-20";#N/A,#N/A,FALSE,"Strtlts &amp; Standby";#N/A,#N/A,FALSE,"A-RTP";#N/A,#N/A,FALSE,"2003mixeduse"}</definedName>
    <definedName name="copy" localSheetId="17" hidden="1">{#N/A,#N/A,FALSE,"Dist Rev at PR ";#N/A,#N/A,FALSE,"Spec";#N/A,#N/A,FALSE,"Res";#N/A,#N/A,FALSE,"Small L&amp;P";#N/A,#N/A,FALSE,"Medium L&amp;P";#N/A,#N/A,FALSE,"E-19";#N/A,#N/A,FALSE,"E-20";#N/A,#N/A,FALSE,"Strtlts &amp; Standby";#N/A,#N/A,FALSE,"A-RTP";#N/A,#N/A,FALSE,"2003mixeduse"}</definedName>
    <definedName name="copy" hidden="1">{#N/A,#N/A,FALSE,"Dist Rev at PR ";#N/A,#N/A,FALSE,"Spec";#N/A,#N/A,FALSE,"Res";#N/A,#N/A,FALSE,"Small L&amp;P";#N/A,#N/A,FALSE,"Medium L&amp;P";#N/A,#N/A,FALSE,"E-19";#N/A,#N/A,FALSE,"E-20";#N/A,#N/A,FALSE,"Strtlts &amp; Standby";#N/A,#N/A,FALSE,"A-RTP";#N/A,#N/A,FALSE,"2003mixeduse"}</definedName>
    <definedName name="copyprint" localSheetId="29" hidden="1">{#N/A,#N/A,FALSE,"Workpaper Tables 4-1 &amp; 4-2";#N/A,#N/A,FALSE,"Revenue Allocation Results";#N/A,#N/A,FALSE,"FERC Rev @ PR";#N/A,#N/A,FALSE,"Distribution Revenue Allocation";#N/A,#N/A,FALSE,"Nonallocated Revenues ";#N/A,#N/A,FALSE,"2000mixuse";#N/A,#N/A,FALSE,"MC Revenues- 00 sales, 96 MC's"}</definedName>
    <definedName name="copyprint" localSheetId="17" hidden="1">{#N/A,#N/A,FALSE,"Workpaper Tables 4-1 &amp; 4-2";#N/A,#N/A,FALSE,"Revenue Allocation Results";#N/A,#N/A,FALSE,"FERC Rev @ PR";#N/A,#N/A,FALSE,"Distribution Revenue Allocation";#N/A,#N/A,FALSE,"Nonallocated Revenues ";#N/A,#N/A,FALSE,"2000mixuse";#N/A,#N/A,FALSE,"MC Revenues- 00 sales, 96 MC's"}</definedName>
    <definedName name="copyprint" hidden="1">{#N/A,#N/A,FALSE,"Workpaper Tables 4-1 &amp; 4-2";#N/A,#N/A,FALSE,"Revenue Allocation Results";#N/A,#N/A,FALSE,"FERC Rev @ PR";#N/A,#N/A,FALSE,"Distribution Revenue Allocation";#N/A,#N/A,FALSE,"Nonallocated Revenues ";#N/A,#N/A,FALSE,"2000mixuse";#N/A,#N/A,FALSE,"MC Revenues- 00 sales, 96 MC's"}</definedName>
    <definedName name="copy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evalloc" localSheetId="29" hidden="1">{#N/A,#N/A,FALSE,"RRQ inputs ";#N/A,#N/A,FALSE,"FERC Rev @ PR";#N/A,#N/A,FALSE,"Distribution Revenue Allocation";#N/A,#N/A,FALSE,"Nonallocated Revenues";#N/A,#N/A,FALSE,"MC Revenues-03 sales, 96 MC's";#N/A,#N/A,FALSE,"FTA"}</definedName>
    <definedName name="copyrevalloc" localSheetId="17" hidden="1">{#N/A,#N/A,FALSE,"RRQ inputs ";#N/A,#N/A,FALSE,"FERC Rev @ PR";#N/A,#N/A,FALSE,"Distribution Revenue Allocation";#N/A,#N/A,FALSE,"Nonallocated Revenues";#N/A,#N/A,FALSE,"MC Revenues-03 sales, 96 MC's";#N/A,#N/A,FALSE,"FTA"}</definedName>
    <definedName name="copyrevalloc" hidden="1">{#N/A,#N/A,FALSE,"RRQ inputs ";#N/A,#N/A,FALSE,"FERC Rev @ PR";#N/A,#N/A,FALSE,"Distribution Revenue Allocation";#N/A,#N/A,FALSE,"Nonallocated Revenues";#N/A,#N/A,FALSE,"MC Revenues-03 sales, 96 MC's";#N/A,#N/A,FALSE,"FTA"}</definedName>
    <definedName name="copyschudel" localSheetId="29" hidden="1">{#N/A,#N/A,FALSE,"ND Rev at Pres Rates";#N/A,#N/A,FALSE,"Res - Unadj";#N/A,#N/A,FALSE,"Small L&amp;P";#N/A,#N/A,FALSE,"Medium L&amp;P";#N/A,#N/A,FALSE,"E-19";#N/A,#N/A,FALSE,"E-20";#N/A,#N/A,FALSE,"A-RTP";#N/A,#N/A,FALSE,"Strtlts &amp; Standby";#N/A,#N/A,FALSE,"AG";#N/A,#N/A,FALSE,"2001mixeduse"}</definedName>
    <definedName name="copyschudel" localSheetId="17" hidden="1">{#N/A,#N/A,FALSE,"ND Rev at Pres Rates";#N/A,#N/A,FALSE,"Res - Unadj";#N/A,#N/A,FALSE,"Small L&amp;P";#N/A,#N/A,FALSE,"Medium L&amp;P";#N/A,#N/A,FALSE,"E-19";#N/A,#N/A,FALSE,"E-20";#N/A,#N/A,FALSE,"A-RTP";#N/A,#N/A,FALSE,"Strtlts &amp; Standby";#N/A,#N/A,FALSE,"AG";#N/A,#N/A,FALSE,"2001mixeduse"}</definedName>
    <definedName name="copyschudel" hidden="1">{#N/A,#N/A,FALSE,"ND Rev at Pres Rates";#N/A,#N/A,FALSE,"Res - Unadj";#N/A,#N/A,FALSE,"Small L&amp;P";#N/A,#N/A,FALSE,"Medium L&amp;P";#N/A,#N/A,FALSE,"E-19";#N/A,#N/A,FALSE,"E-20";#N/A,#N/A,FALSE,"A-RTP";#N/A,#N/A,FALSE,"Strtlts &amp; Standby";#N/A,#N/A,FALSE,"AG";#N/A,#N/A,FALSE,"2001mixeduse"}</definedName>
    <definedName name="CTIT" localSheetId="29" hidden="1">{"PI_Data",#N/A,TRUE,"P&amp;I Data"}</definedName>
    <definedName name="CTIT" hidden="1">{"PI_Data",#N/A,TRUE,"P&amp;I Data"}</definedName>
    <definedName name="d" localSheetId="29" hidden="1">{#N/A,#N/A,FALSE,"CTC Summary - EOY";#N/A,#N/A,FALSE,"CTC Summary - Wtavg"}</definedName>
    <definedName name="d" hidden="1">{#N/A,#N/A,FALSE,"CTC Summary - EOY";#N/A,#N/A,FALSE,"CTC Summary - Wtavg"}</definedName>
    <definedName name="DeleteMe" localSheetId="29" hidden="1">{#N/A,#N/A,FALSE,"Dist Rev at PR ";#N/A,#N/A,FALSE,"Spec";#N/A,#N/A,FALSE,"Res";#N/A,#N/A,FALSE,"Small L&amp;P";#N/A,#N/A,FALSE,"Medium L&amp;P";#N/A,#N/A,FALSE,"E-19";#N/A,#N/A,FALSE,"E-20";#N/A,#N/A,FALSE,"Strtlts &amp; Standby";#N/A,#N/A,FALSE,"A-RTP";#N/A,#N/A,FALSE,"2003mixeduse"}</definedName>
    <definedName name="DeleteMe" hidden="1">{#N/A,#N/A,FALSE,"Dist Rev at PR ";#N/A,#N/A,FALSE,"Spec";#N/A,#N/A,FALSE,"Res";#N/A,#N/A,FALSE,"Small L&amp;P";#N/A,#N/A,FALSE,"Medium L&amp;P";#N/A,#N/A,FALSE,"E-19";#N/A,#N/A,FALSE,"E-20";#N/A,#N/A,FALSE,"Strtlts &amp; Standby";#N/A,#N/A,FALSE,"A-RTP";#N/A,#N/A,FALSE,"2003mixeduse"}</definedName>
    <definedName name="e" localSheetId="29" hidden="1">{#N/A,#N/A,FALSE,"CTC Summary - EOY";#N/A,#N/A,FALSE,"CTC Summary - Wtavg"}</definedName>
    <definedName name="e" hidden="1">{#N/A,#N/A,FALSE,"CTC Summary - EOY";#N/A,#N/A,FALSE,"CTC Summary - Wtavg"}</definedName>
    <definedName name="ED">"3W3Y8WU9D4KB8I8XZYLB5WWMT"</definedName>
    <definedName name="ee" localSheetId="19" hidden="1">{"PI_Data",#N/A,TRUE,"P&amp;I Data"}</definedName>
    <definedName name="ee" localSheetId="20" hidden="1">{"PI_Data",#N/A,TRUE,"P&amp;I Data"}</definedName>
    <definedName name="ee" localSheetId="21" hidden="1">{"PI_Data",#N/A,TRUE,"P&amp;I Data"}</definedName>
    <definedName name="ee" localSheetId="22" hidden="1">{"PI_Data",#N/A,TRUE,"P&amp;I Data"}</definedName>
    <definedName name="ee" localSheetId="23" hidden="1">{"PI_Data",#N/A,TRUE,"P&amp;I Data"}</definedName>
    <definedName name="ee" localSheetId="24" hidden="1">{"PI_Data",#N/A,TRUE,"P&amp;I Data"}</definedName>
    <definedName name="ee" localSheetId="25" hidden="1">{"PI_Data",#N/A,TRUE,"P&amp;I Data"}</definedName>
    <definedName name="ee" localSheetId="26" hidden="1">{"PI_Data",#N/A,TRUE,"P&amp;I Data"}</definedName>
    <definedName name="ee" localSheetId="27" hidden="1">{"PI_Data",#N/A,TRUE,"P&amp;I Data"}</definedName>
    <definedName name="ee" localSheetId="28" hidden="1">{"PI_Data",#N/A,TRUE,"P&amp;I Data"}</definedName>
    <definedName name="ee" localSheetId="29" hidden="1">{"PI_Data",#N/A,TRUE,"P&amp;I Data"}</definedName>
    <definedName name="ee" localSheetId="30" hidden="1">{"PI_Data",#N/A,TRUE,"P&amp;I Data"}</definedName>
    <definedName name="ee" localSheetId="33" hidden="1">{"PI_Data",#N/A,TRUE,"P&amp;I Data"}</definedName>
    <definedName name="ee" localSheetId="34" hidden="1">{"PI_Data",#N/A,TRUE,"P&amp;I Data"}</definedName>
    <definedName name="ee" localSheetId="35" hidden="1">{"PI_Data",#N/A,TRUE,"P&amp;I Data"}</definedName>
    <definedName name="ee" localSheetId="36" hidden="1">{"PI_Data",#N/A,TRUE,"P&amp;I Data"}</definedName>
    <definedName name="ee" localSheetId="37" hidden="1">{"PI_Data",#N/A,TRUE,"P&amp;I Data"}</definedName>
    <definedName name="ee" localSheetId="38" hidden="1">{"PI_Data",#N/A,TRUE,"P&amp;I Data"}</definedName>
    <definedName name="ee" localSheetId="39" hidden="1">{"PI_Data",#N/A,TRUE,"P&amp;I Data"}</definedName>
    <definedName name="ee" localSheetId="40" hidden="1">{"PI_Data",#N/A,TRUE,"P&amp;I Data"}</definedName>
    <definedName name="ee" localSheetId="41" hidden="1">{"PI_Data",#N/A,TRUE,"P&amp;I Data"}</definedName>
    <definedName name="ee" localSheetId="42" hidden="1">{"PI_Data",#N/A,TRUE,"P&amp;I Data"}</definedName>
    <definedName name="ee" localSheetId="13" hidden="1">{"PI_Data",#N/A,TRUE,"P&amp;I Data"}</definedName>
    <definedName name="ee" localSheetId="15" hidden="1">{"PI_Data",#N/A,TRUE,"P&amp;I Data"}</definedName>
    <definedName name="ee" localSheetId="16" hidden="1">{"PI_Data",#N/A,TRUE,"P&amp;I Data"}</definedName>
    <definedName name="ee" localSheetId="17" hidden="1">{"PI_Data",#N/A,TRUE,"P&amp;I Data"}</definedName>
    <definedName name="ee" localSheetId="18" hidden="1">{"PI_Data",#N/A,TRUE,"P&amp;I Data"}</definedName>
    <definedName name="ee" hidden="1">{"PI_Data",#N/A,TRUE,"P&amp;I Data"}</definedName>
    <definedName name="ef" localSheetId="19" hidden="1">{"PI_Data",#N/A,TRUE,"P&amp;I Data"}</definedName>
    <definedName name="ef" localSheetId="20" hidden="1">{"PI_Data",#N/A,TRUE,"P&amp;I Data"}</definedName>
    <definedName name="ef" localSheetId="21" hidden="1">{"PI_Data",#N/A,TRUE,"P&amp;I Data"}</definedName>
    <definedName name="ef" localSheetId="22" hidden="1">{"PI_Data",#N/A,TRUE,"P&amp;I Data"}</definedName>
    <definedName name="ef" localSheetId="23" hidden="1">{"PI_Data",#N/A,TRUE,"P&amp;I Data"}</definedName>
    <definedName name="ef" localSheetId="24" hidden="1">{"PI_Data",#N/A,TRUE,"P&amp;I Data"}</definedName>
    <definedName name="ef" localSheetId="25" hidden="1">{"PI_Data",#N/A,TRUE,"P&amp;I Data"}</definedName>
    <definedName name="ef" localSheetId="26" hidden="1">{"PI_Data",#N/A,TRUE,"P&amp;I Data"}</definedName>
    <definedName name="ef" localSheetId="27" hidden="1">{"PI_Data",#N/A,TRUE,"P&amp;I Data"}</definedName>
    <definedName name="ef" localSheetId="29" hidden="1">{"PI_Data",#N/A,TRUE,"P&amp;I Data"}</definedName>
    <definedName name="ef" localSheetId="30" hidden="1">{"PI_Data",#N/A,TRUE,"P&amp;I Data"}</definedName>
    <definedName name="ef" localSheetId="33" hidden="1">{"PI_Data",#N/A,TRUE,"P&amp;I Data"}</definedName>
    <definedName name="ef" localSheetId="34" hidden="1">{"PI_Data",#N/A,TRUE,"P&amp;I Data"}</definedName>
    <definedName name="ef" localSheetId="35" hidden="1">{"PI_Data",#N/A,TRUE,"P&amp;I Data"}</definedName>
    <definedName name="ef" localSheetId="36" hidden="1">{"PI_Data",#N/A,TRUE,"P&amp;I Data"}</definedName>
    <definedName name="ef" localSheetId="37" hidden="1">{"PI_Data",#N/A,TRUE,"P&amp;I Data"}</definedName>
    <definedName name="ef" localSheetId="38" hidden="1">{"PI_Data",#N/A,TRUE,"P&amp;I Data"}</definedName>
    <definedName name="ef" localSheetId="39" hidden="1">{"PI_Data",#N/A,TRUE,"P&amp;I Data"}</definedName>
    <definedName name="ef" localSheetId="40" hidden="1">{"PI_Data",#N/A,TRUE,"P&amp;I Data"}</definedName>
    <definedName name="ef" localSheetId="41" hidden="1">{"PI_Data",#N/A,TRUE,"P&amp;I Data"}</definedName>
    <definedName name="ef" localSheetId="42" hidden="1">{"PI_Data",#N/A,TRUE,"P&amp;I Data"}</definedName>
    <definedName name="ef" localSheetId="13" hidden="1">{"PI_Data",#N/A,TRUE,"P&amp;I Data"}</definedName>
    <definedName name="ef" localSheetId="15" hidden="1">{"PI_Data",#N/A,TRUE,"P&amp;I Data"}</definedName>
    <definedName name="ef" localSheetId="16" hidden="1">{"PI_Data",#N/A,TRUE,"P&amp;I Data"}</definedName>
    <definedName name="ef" localSheetId="17" hidden="1">{"PI_Data",#N/A,TRUE,"P&amp;I Data"}</definedName>
    <definedName name="ef" localSheetId="18" hidden="1">{"PI_Data",#N/A,TRUE,"P&amp;I Data"}</definedName>
    <definedName name="ef" hidden="1">{"PI_Data",#N/A,TRUE,"P&amp;I Data"}</definedName>
    <definedName name="EV__EVCOM_OPTIONS__" hidden="1">8</definedName>
    <definedName name="EV__EXPOPTIONS__" hidden="1">1</definedName>
    <definedName name="EV__LASTREFTIME__" localSheetId="28" hidden="1">"(GMT-08:00)5/8/2012 1:36:12 PM"</definedName>
    <definedName name="EV__LASTREFTIME__">"(GMT-08:00)4/23/2012 7:07:55 AM"</definedName>
    <definedName name="EV__MAXEXPCOLS__" hidden="1">100</definedName>
    <definedName name="EV__MAXEXPROWS__" hidden="1">1000</definedName>
    <definedName name="EV__MEMORYCVW__" hidden="1">0</definedName>
    <definedName name="EV__WBEVMODE__" hidden="1">0</definedName>
    <definedName name="EV__WBREFOPTIONS__" hidden="1">134217735</definedName>
    <definedName name="EV__WBVERSION__" hidden="1">0</definedName>
    <definedName name="FERC" localSheetId="29" hidden="1">{#N/A,#N/A,FALSE,"CTC Summary - EOY";#N/A,#N/A,FALSE,"CTC Summary - Wtavg"}</definedName>
    <definedName name="FERC" hidden="1">{#N/A,#N/A,FALSE,"CTC Summary - EOY";#N/A,#N/A,FALSE,"CTC Summary - Wtavg"}</definedName>
    <definedName name="foo" localSheetId="2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gggg" localSheetId="2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localSheetId="2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huh" localSheetId="29" hidden="1">{#N/A,#N/A,FALSE,"Dist Rev at PR ";#N/A,#N/A,FALSE,"Spec";#N/A,#N/A,FALSE,"Res";#N/A,#N/A,FALSE,"Small L&amp;P";#N/A,#N/A,FALSE,"Medium L&amp;P";#N/A,#N/A,FALSE,"E-19";#N/A,#N/A,FALSE,"E-20";#N/A,#N/A,FALSE,"Strtlts &amp; Standby";#N/A,#N/A,FALSE,"A-RTP";#N/A,#N/A,FALSE,"2003mixeduse"}</definedName>
    <definedName name="huh" localSheetId="17" hidden="1">{#N/A,#N/A,FALSE,"Dist Rev at PR ";#N/A,#N/A,FALSE,"Spec";#N/A,#N/A,FALSE,"Res";#N/A,#N/A,FALSE,"Small L&amp;P";#N/A,#N/A,FALSE,"Medium L&amp;P";#N/A,#N/A,FALSE,"E-19";#N/A,#N/A,FALSE,"E-20";#N/A,#N/A,FALSE,"Strtlts &amp; Standby";#N/A,#N/A,FALSE,"A-RTP";#N/A,#N/A,FALSE,"2003mixeduse"}</definedName>
    <definedName name="huh" hidden="1">{#N/A,#N/A,FALSE,"Dist Rev at PR ";#N/A,#N/A,FALSE,"Spec";#N/A,#N/A,FALSE,"Res";#N/A,#N/A,FALSE,"Small L&amp;P";#N/A,#N/A,FALSE,"Medium L&amp;P";#N/A,#N/A,FALSE,"E-19";#N/A,#N/A,FALSE,"E-20";#N/A,#N/A,FALSE,"Strtlts &amp; Standby";#N/A,#N/A,FALSE,"A-RTP";#N/A,#N/A,FALSE,"2003mixeduse"}</definedName>
    <definedName name="huhnd" localSheetId="29" hidden="1">{#N/A,#N/A,FALSE,"ND Rev at Pres Rates";#N/A,#N/A,FALSE,"Res - Unadj sales";#N/A,#N/A,FALSE,"Small L&amp;P";#N/A,#N/A,FALSE,"Medium L&amp;P";#N/A,#N/A,FALSE,"E-19";#N/A,#N/A,FALSE,"E-20";#N/A,#N/A,FALSE,"Strtlts &amp; Standby";#N/A,#N/A,FALSE,"AG";#N/A,#N/A,FALSE,"A-RTP";#N/A,#N/A,FALSE,"Spec"}</definedName>
    <definedName name="huhnd" localSheetId="17" hidden="1">{#N/A,#N/A,FALSE,"ND Rev at Pres Rates";#N/A,#N/A,FALSE,"Res - Unadj sales";#N/A,#N/A,FALSE,"Small L&amp;P";#N/A,#N/A,FALSE,"Medium L&amp;P";#N/A,#N/A,FALSE,"E-19";#N/A,#N/A,FALSE,"E-20";#N/A,#N/A,FALSE,"Strtlts &amp; Standby";#N/A,#N/A,FALSE,"AG";#N/A,#N/A,FALSE,"A-RTP";#N/A,#N/A,FALSE,"Spec"}</definedName>
    <definedName name="huhnd" hidden="1">{#N/A,#N/A,FALSE,"ND Rev at Pres Rates";#N/A,#N/A,FALSE,"Res - Unadj sales";#N/A,#N/A,FALSE,"Small L&amp;P";#N/A,#N/A,FALSE,"Medium L&amp;P";#N/A,#N/A,FALSE,"E-19";#N/A,#N/A,FALSE,"E-20";#N/A,#N/A,FALSE,"Strtlts &amp; Standby";#N/A,#N/A,FALSE,"AG";#N/A,#N/A,FALSE,"A-RTP";#N/A,#N/A,FALSE,"Spec"}</definedName>
    <definedName name="huhnd2" localSheetId="29" hidden="1">{#N/A,#N/A,FALSE,"ND Rev at Pres Rates";#N/A,#N/A,FALSE,"Res - Unadj sales";#N/A,#N/A,FALSE,"Small L&amp;P";#N/A,#N/A,FALSE,"Medium L&amp;P";#N/A,#N/A,FALSE,"E-19";#N/A,#N/A,FALSE,"E-20";#N/A,#N/A,FALSE,"Strtlts &amp; Standby";#N/A,#N/A,FALSE,"AG";#N/A,#N/A,FALSE,"A-RTP";#N/A,#N/A,FALSE,"Spec"}</definedName>
    <definedName name="huhnd2" localSheetId="17" hidden="1">{#N/A,#N/A,FALSE,"ND Rev at Pres Rates";#N/A,#N/A,FALSE,"Res - Unadj sales";#N/A,#N/A,FALSE,"Small L&amp;P";#N/A,#N/A,FALSE,"Medium L&amp;P";#N/A,#N/A,FALSE,"E-19";#N/A,#N/A,FALSE,"E-20";#N/A,#N/A,FALSE,"Strtlts &amp; Standby";#N/A,#N/A,FALSE,"AG";#N/A,#N/A,FALSE,"A-RTP";#N/A,#N/A,FALSE,"Spec"}</definedName>
    <definedName name="huhnd2" hidden="1">{#N/A,#N/A,FALSE,"ND Rev at Pres Rates";#N/A,#N/A,FALSE,"Res - Unadj sales";#N/A,#N/A,FALSE,"Small L&amp;P";#N/A,#N/A,FALSE,"Medium L&amp;P";#N/A,#N/A,FALSE,"E-19";#N/A,#N/A,FALSE,"E-20";#N/A,#N/A,FALSE,"Strtlts &amp; Standby";#N/A,#N/A,FALSE,"AG";#N/A,#N/A,FALSE,"A-RTP";#N/A,#N/A,FALSE,"Spec"}</definedName>
    <definedName name="huhprint" localSheetId="29" hidden="1">{#N/A,#N/A,FALSE,"Workpaper Tables 4-1 &amp; 4-2";#N/A,#N/A,FALSE,"Revenue Allocation Results";#N/A,#N/A,FALSE,"FERC Rev @ PR";#N/A,#N/A,FALSE,"Distribution Revenue Allocation";#N/A,#N/A,FALSE,"Nonallocated Revenues ";#N/A,#N/A,FALSE,"2000mixuse";#N/A,#N/A,FALSE,"MC Revenues- 00 sales, 96 MC's"}</definedName>
    <definedName name="huhprint" localSheetId="17" hidden="1">{#N/A,#N/A,FALSE,"Workpaper Tables 4-1 &amp; 4-2";#N/A,#N/A,FALSE,"Revenue Allocation Results";#N/A,#N/A,FALSE,"FERC Rev @ PR";#N/A,#N/A,FALSE,"Distribution Revenue Allocation";#N/A,#N/A,FALSE,"Nonallocated Revenues ";#N/A,#N/A,FALSE,"2000mixuse";#N/A,#N/A,FALSE,"MC Revenues- 00 sales, 96 MC's"}</definedName>
    <definedName name="huhprint" hidden="1">{#N/A,#N/A,FALSE,"Workpaper Tables 4-1 &amp; 4-2";#N/A,#N/A,FALSE,"Revenue Allocation Results";#N/A,#N/A,FALSE,"FERC Rev @ PR";#N/A,#N/A,FALSE,"Distribution Revenue Allocation";#N/A,#N/A,FALSE,"Nonallocated Revenues ";#N/A,#N/A,FALSE,"2000mixuse";#N/A,#N/A,FALSE,"MC Revenues- 00 sales, 96 MC's"}</definedName>
    <definedName name="huh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evalloc" localSheetId="29" hidden="1">{#N/A,#N/A,FALSE,"RRQ inputs ";#N/A,#N/A,FALSE,"FERC Rev @ PR";#N/A,#N/A,FALSE,"Distribution Revenue Allocation";#N/A,#N/A,FALSE,"Nonallocated Revenues";#N/A,#N/A,FALSE,"MC Revenues-03 sales, 96 MC's";#N/A,#N/A,FALSE,"FTA"}</definedName>
    <definedName name="huhrevalloc" localSheetId="17" hidden="1">{#N/A,#N/A,FALSE,"RRQ inputs ";#N/A,#N/A,FALSE,"FERC Rev @ PR";#N/A,#N/A,FALSE,"Distribution Revenue Allocation";#N/A,#N/A,FALSE,"Nonallocated Revenues";#N/A,#N/A,FALSE,"MC Revenues-03 sales, 96 MC's";#N/A,#N/A,FALSE,"FTA"}</definedName>
    <definedName name="huhrevalloc" hidden="1">{#N/A,#N/A,FALSE,"RRQ inputs ";#N/A,#N/A,FALSE,"FERC Rev @ PR";#N/A,#N/A,FALSE,"Distribution Revenue Allocation";#N/A,#N/A,FALSE,"Nonallocated Revenues";#N/A,#N/A,FALSE,"MC Revenues-03 sales, 96 MC's";#N/A,#N/A,FALSE,"FTA"}</definedName>
    <definedName name="huhschudel" localSheetId="29" hidden="1">{#N/A,#N/A,FALSE,"ND Rev at Pres Rates";#N/A,#N/A,FALSE,"Res - Unadj";#N/A,#N/A,FALSE,"Small L&amp;P";#N/A,#N/A,FALSE,"Medium L&amp;P";#N/A,#N/A,FALSE,"E-19";#N/A,#N/A,FALSE,"E-20";#N/A,#N/A,FALSE,"A-RTP";#N/A,#N/A,FALSE,"Strtlts &amp; Standby";#N/A,#N/A,FALSE,"AG";#N/A,#N/A,FALSE,"2001mixeduse"}</definedName>
    <definedName name="huhschudel" localSheetId="17" hidden="1">{#N/A,#N/A,FALSE,"ND Rev at Pres Rates";#N/A,#N/A,FALSE,"Res - Unadj";#N/A,#N/A,FALSE,"Small L&amp;P";#N/A,#N/A,FALSE,"Medium L&amp;P";#N/A,#N/A,FALSE,"E-19";#N/A,#N/A,FALSE,"E-20";#N/A,#N/A,FALSE,"A-RTP";#N/A,#N/A,FALSE,"Strtlts &amp; Standby";#N/A,#N/A,FALSE,"AG";#N/A,#N/A,FALSE,"2001mixeduse"}</definedName>
    <definedName name="huhschudel" hidden="1">{#N/A,#N/A,FALSE,"ND Rev at Pres Rates";#N/A,#N/A,FALSE,"Res - Unadj";#N/A,#N/A,FALSE,"Small L&amp;P";#N/A,#N/A,FALSE,"Medium L&amp;P";#N/A,#N/A,FALSE,"E-19";#N/A,#N/A,FALSE,"E-20";#N/A,#N/A,FALSE,"A-RTP";#N/A,#N/A,FALSE,"Strtlts &amp; Standby";#N/A,#N/A,FALSE,"AG";#N/A,#N/A,FALSE,"2001mixeduse"}</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41780.7911111111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ly" localSheetId="29" hidden="1">{#N/A,#N/A,FALSE,"CTC Summary - EOY";#N/A,#N/A,FALSE,"CTC Summary - Wtavg"}</definedName>
    <definedName name="July" hidden="1">{#N/A,#N/A,FALSE,"CTC Summary - EOY";#N/A,#N/A,FALSE,"CTC Summary - Wtavg"}</definedName>
    <definedName name="June" localSheetId="29"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19" hidden="1">{"PI_Data",#N/A,TRUE,"P&amp;I Data"}</definedName>
    <definedName name="L" localSheetId="20" hidden="1">{"PI_Data",#N/A,TRUE,"P&amp;I Data"}</definedName>
    <definedName name="L" localSheetId="21" hidden="1">{"PI_Data",#N/A,TRUE,"P&amp;I Data"}</definedName>
    <definedName name="L" localSheetId="22" hidden="1">{"PI_Data",#N/A,TRUE,"P&amp;I Data"}</definedName>
    <definedName name="L" localSheetId="23" hidden="1">{"PI_Data",#N/A,TRUE,"P&amp;I Data"}</definedName>
    <definedName name="L" localSheetId="24" hidden="1">{"PI_Data",#N/A,TRUE,"P&amp;I Data"}</definedName>
    <definedName name="L" localSheetId="25" hidden="1">{"PI_Data",#N/A,TRUE,"P&amp;I Data"}</definedName>
    <definedName name="L" localSheetId="26" hidden="1">{"PI_Data",#N/A,TRUE,"P&amp;I Data"}</definedName>
    <definedName name="L" localSheetId="27" hidden="1">{"PI_Data",#N/A,TRUE,"P&amp;I Data"}</definedName>
    <definedName name="L" localSheetId="29" hidden="1">{"PI_Data",#N/A,TRUE,"P&amp;I Data"}</definedName>
    <definedName name="L" localSheetId="30" hidden="1">{"PI_Data",#N/A,TRUE,"P&amp;I Data"}</definedName>
    <definedName name="L" localSheetId="33" hidden="1">{"PI_Data",#N/A,TRUE,"P&amp;I Data"}</definedName>
    <definedName name="L" localSheetId="34" hidden="1">{"PI_Data",#N/A,TRUE,"P&amp;I Data"}</definedName>
    <definedName name="L" localSheetId="35" hidden="1">{"PI_Data",#N/A,TRUE,"P&amp;I Data"}</definedName>
    <definedName name="L" localSheetId="36" hidden="1">{"PI_Data",#N/A,TRUE,"P&amp;I Data"}</definedName>
    <definedName name="L" localSheetId="37" hidden="1">{"PI_Data",#N/A,TRUE,"P&amp;I Data"}</definedName>
    <definedName name="L" localSheetId="38" hidden="1">{"PI_Data",#N/A,TRUE,"P&amp;I Data"}</definedName>
    <definedName name="L" localSheetId="39" hidden="1">{"PI_Data",#N/A,TRUE,"P&amp;I Data"}</definedName>
    <definedName name="L" localSheetId="40" hidden="1">{"PI_Data",#N/A,TRUE,"P&amp;I Data"}</definedName>
    <definedName name="L" localSheetId="41" hidden="1">{"PI_Data",#N/A,TRUE,"P&amp;I Data"}</definedName>
    <definedName name="L" localSheetId="42" hidden="1">{"PI_Data",#N/A,TRUE,"P&amp;I Data"}</definedName>
    <definedName name="L" localSheetId="13" hidden="1">{"PI_Data",#N/A,TRUE,"P&amp;I Data"}</definedName>
    <definedName name="L" localSheetId="15" hidden="1">{"PI_Data",#N/A,TRUE,"P&amp;I Data"}</definedName>
    <definedName name="L" localSheetId="16" hidden="1">{"PI_Data",#N/A,TRUE,"P&amp;I Data"}</definedName>
    <definedName name="L" localSheetId="17" hidden="1">{"PI_Data",#N/A,TRUE,"P&amp;I Data"}</definedName>
    <definedName name="L" localSheetId="18" hidden="1">{"PI_Data",#N/A,TRUE,"P&amp;I Data"}</definedName>
    <definedName name="L" hidden="1">{"PI_Data",#N/A,TRUE,"P&amp;I Data"}</definedName>
    <definedName name="L2X" localSheetId="29" hidden="1">{"PI_Data",#N/A,TRUE,"P&amp;I Data"}</definedName>
    <definedName name="L2X" hidden="1">{"PI_Data",#N/A,TRUE,"P&amp;I Data"}</definedName>
    <definedName name="left">#REF!</definedName>
    <definedName name="LL" localSheetId="29" hidden="1">{"PI_Data",#N/A,TRUE,"P&amp;I Data"}</definedName>
    <definedName name="LL" hidden="1">{"PI_Data",#N/A,TRUE,"P&amp;I Data"}</definedName>
    <definedName name="m" localSheetId="19" hidden="1">{"PI_Data",#N/A,TRUE,"P&amp;I Data"}</definedName>
    <definedName name="m" localSheetId="20" hidden="1">{"PI_Data",#N/A,TRUE,"P&amp;I Data"}</definedName>
    <definedName name="m" localSheetId="21" hidden="1">{"PI_Data",#N/A,TRUE,"P&amp;I Data"}</definedName>
    <definedName name="m" localSheetId="22" hidden="1">{"PI_Data",#N/A,TRUE,"P&amp;I Data"}</definedName>
    <definedName name="m" localSheetId="23" hidden="1">{"PI_Data",#N/A,TRUE,"P&amp;I Data"}</definedName>
    <definedName name="m" localSheetId="24" hidden="1">{"PI_Data",#N/A,TRUE,"P&amp;I Data"}</definedName>
    <definedName name="m" localSheetId="25" hidden="1">{"PI_Data",#N/A,TRUE,"P&amp;I Data"}</definedName>
    <definedName name="m" localSheetId="26" hidden="1">{"PI_Data",#N/A,TRUE,"P&amp;I Data"}</definedName>
    <definedName name="m" localSheetId="27" hidden="1">{"PI_Data",#N/A,TRUE,"P&amp;I Data"}</definedName>
    <definedName name="m" localSheetId="29" hidden="1">{"PI_Data",#N/A,TRUE,"P&amp;I Data"}</definedName>
    <definedName name="m" localSheetId="30" hidden="1">{"PI_Data",#N/A,TRUE,"P&amp;I Data"}</definedName>
    <definedName name="m" localSheetId="33" hidden="1">{"PI_Data",#N/A,TRUE,"P&amp;I Data"}</definedName>
    <definedName name="m" localSheetId="34" hidden="1">{"PI_Data",#N/A,TRUE,"P&amp;I Data"}</definedName>
    <definedName name="m" localSheetId="35" hidden="1">{"PI_Data",#N/A,TRUE,"P&amp;I Data"}</definedName>
    <definedName name="m" localSheetId="36" hidden="1">{"PI_Data",#N/A,TRUE,"P&amp;I Data"}</definedName>
    <definedName name="m" localSheetId="37" hidden="1">{"PI_Data",#N/A,TRUE,"P&amp;I Data"}</definedName>
    <definedName name="m" localSheetId="38" hidden="1">{"PI_Data",#N/A,TRUE,"P&amp;I Data"}</definedName>
    <definedName name="m" localSheetId="39" hidden="1">{"PI_Data",#N/A,TRUE,"P&amp;I Data"}</definedName>
    <definedName name="m" localSheetId="40" hidden="1">{"PI_Data",#N/A,TRUE,"P&amp;I Data"}</definedName>
    <definedName name="m" localSheetId="41" hidden="1">{"PI_Data",#N/A,TRUE,"P&amp;I Data"}</definedName>
    <definedName name="m" localSheetId="42" hidden="1">{"PI_Data",#N/A,TRUE,"P&amp;I Data"}</definedName>
    <definedName name="m" localSheetId="13" hidden="1">{"PI_Data",#N/A,TRUE,"P&amp;I Data"}</definedName>
    <definedName name="m" localSheetId="15" hidden="1">{"PI_Data",#N/A,TRUE,"P&amp;I Data"}</definedName>
    <definedName name="m" localSheetId="16" hidden="1">{"PI_Data",#N/A,TRUE,"P&amp;I Data"}</definedName>
    <definedName name="m" localSheetId="17" hidden="1">{"PI_Data",#N/A,TRUE,"P&amp;I Data"}</definedName>
    <definedName name="m" localSheetId="18" hidden="1">{"PI_Data",#N/A,TRUE,"P&amp;I Data"}</definedName>
    <definedName name="m" hidden="1">{"PI_Data",#N/A,TRUE,"P&amp;I Data"}</definedName>
    <definedName name="M2X" localSheetId="29" hidden="1">{"PI_Data",#N/A,TRUE,"P&amp;I Data"}</definedName>
    <definedName name="M2X" hidden="1">{"PI_Data",#N/A,TRUE,"P&amp;I Data"}</definedName>
    <definedName name="May" localSheetId="29" hidden="1">{#N/A,#N/A,FALSE,"CTC Summary - EOY";#N/A,#N/A,FALSE,"CTC Summary - Wtavg"}</definedName>
    <definedName name="May" hidden="1">{#N/A,#N/A,FALSE,"CTC Summary - EOY";#N/A,#N/A,FALSE,"CTC Summary - Wtavg"}</definedName>
    <definedName name="MEWarning" hidden="1">1</definedName>
    <definedName name="MM" localSheetId="29" hidden="1">{"PI_Data",#N/A,TRUE,"P&amp;I Data"}</definedName>
    <definedName name="MM" hidden="1">{"PI_Data",#N/A,TRUE,"P&amp;I Data"}</definedName>
    <definedName name="n" localSheetId="29" hidden="1">{#N/A,#N/A,FALSE,"CTC Summary - EOY";#N/A,#N/A,FALSE,"CTC Summary - Wtavg"}</definedName>
    <definedName name="n" hidden="1">{#N/A,#N/A,FALSE,"CTC Summary - EOY";#N/A,#N/A,FALSE,"CTC Summary - Wtavg"}</definedName>
    <definedName name="New" localSheetId="29" hidden="1">{#N/A,#N/A,FALSE,"CTC Summary - EOY";#N/A,#N/A,FALSE,"CTC Summary - Wtavg"}</definedName>
    <definedName name="New" hidden="1">{#N/A,#N/A,FALSE,"CTC Summary - EOY";#N/A,#N/A,FALSE,"CTC Summary - Wtavg"}</definedName>
    <definedName name="p" localSheetId="19" hidden="1">{"PI_Data",#N/A,TRUE,"P&amp;I Data"}</definedName>
    <definedName name="p" localSheetId="20" hidden="1">{"PI_Data",#N/A,TRUE,"P&amp;I Data"}</definedName>
    <definedName name="p" localSheetId="21" hidden="1">{"PI_Data",#N/A,TRUE,"P&amp;I Data"}</definedName>
    <definedName name="p" localSheetId="22" hidden="1">{"PI_Data",#N/A,TRUE,"P&amp;I Data"}</definedName>
    <definedName name="p" localSheetId="23" hidden="1">{"PI_Data",#N/A,TRUE,"P&amp;I Data"}</definedName>
    <definedName name="p" localSheetId="24" hidden="1">{"PI_Data",#N/A,TRUE,"P&amp;I Data"}</definedName>
    <definedName name="p" localSheetId="25" hidden="1">{"PI_Data",#N/A,TRUE,"P&amp;I Data"}</definedName>
    <definedName name="p" localSheetId="26" hidden="1">{"PI_Data",#N/A,TRUE,"P&amp;I Data"}</definedName>
    <definedName name="p" localSheetId="27" hidden="1">{"PI_Data",#N/A,TRUE,"P&amp;I Data"}</definedName>
    <definedName name="p" localSheetId="28" hidden="1">{"PI_Data",#N/A,TRUE,"P&amp;I Data"}</definedName>
    <definedName name="p" localSheetId="29" hidden="1">{"PI_Data",#N/A,TRUE,"P&amp;I Data"}</definedName>
    <definedName name="p" localSheetId="30" hidden="1">{"PI_Data",#N/A,TRUE,"P&amp;I Data"}</definedName>
    <definedName name="p" localSheetId="33" hidden="1">{"PI_Data",#N/A,TRUE,"P&amp;I Data"}</definedName>
    <definedName name="p" localSheetId="34" hidden="1">{"PI_Data",#N/A,TRUE,"P&amp;I Data"}</definedName>
    <definedName name="p" localSheetId="35" hidden="1">{"PI_Data",#N/A,TRUE,"P&amp;I Data"}</definedName>
    <definedName name="p" localSheetId="36" hidden="1">{"PI_Data",#N/A,TRUE,"P&amp;I Data"}</definedName>
    <definedName name="p" localSheetId="37" hidden="1">{"PI_Data",#N/A,TRUE,"P&amp;I Data"}</definedName>
    <definedName name="p" localSheetId="38" hidden="1">{"PI_Data",#N/A,TRUE,"P&amp;I Data"}</definedName>
    <definedName name="p" localSheetId="39" hidden="1">{"PI_Data",#N/A,TRUE,"P&amp;I Data"}</definedName>
    <definedName name="p" localSheetId="40" hidden="1">{"PI_Data",#N/A,TRUE,"P&amp;I Data"}</definedName>
    <definedName name="p" localSheetId="41" hidden="1">{"PI_Data",#N/A,TRUE,"P&amp;I Data"}</definedName>
    <definedName name="p" localSheetId="42" hidden="1">{"PI_Data",#N/A,TRUE,"P&amp;I Data"}</definedName>
    <definedName name="p" localSheetId="13" hidden="1">{"PI_Data",#N/A,TRUE,"P&amp;I Data"}</definedName>
    <definedName name="p" localSheetId="15" hidden="1">{"PI_Data",#N/A,TRUE,"P&amp;I Data"}</definedName>
    <definedName name="p" localSheetId="16" hidden="1">{"PI_Data",#N/A,TRUE,"P&amp;I Data"}</definedName>
    <definedName name="p" localSheetId="17" hidden="1">{"PI_Data",#N/A,TRUE,"P&amp;I Data"}</definedName>
    <definedName name="p" localSheetId="18" hidden="1">{"PI_Data",#N/A,TRUE,"P&amp;I Data"}</definedName>
    <definedName name="p" hidden="1">{"PI_Data",#N/A,TRUE,"P&amp;I Data"}</definedName>
    <definedName name="P2X" localSheetId="29" hidden="1">{"PI_Data",#N/A,TRUE,"P&amp;I Data"}</definedName>
    <definedName name="P2X" hidden="1">{"PI_Data",#N/A,TRUE,"P&amp;I Data"}</definedName>
    <definedName name="PIX" localSheetId="29" hidden="1">{"PI_Data",#N/A,TRUE,"P&amp;I Data"}</definedName>
    <definedName name="PIX" hidden="1">{"PI_Data",#N/A,TRUE,"P&amp;I Data"}</definedName>
    <definedName name="PP" localSheetId="29" hidden="1">{"PI_Data",#N/A,TRUE,"P&amp;I Data"}</definedName>
    <definedName name="PP" hidden="1">{"PI_Data",#N/A,TRUE,"P&amp;I Data"}</definedName>
    <definedName name="ppppppppppppppppppppppppppppppp" localSheetId="29" hidden="1">{"PI_Data",#N/A,TRUE,"P&amp;I Data"}</definedName>
    <definedName name="ppppppppppppppppppppppppppppppp" hidden="1">{"PI_Data",#N/A,TRUE,"P&amp;I Data"}</definedName>
    <definedName name="_xlnm.Print_Area" localSheetId="19">'10-AccDep'!$A$1:$R$136</definedName>
    <definedName name="_xlnm.Print_Area" localSheetId="22">'13-WorkCap'!$A$1:$J$69</definedName>
    <definedName name="_xlnm.Print_Area" localSheetId="23">'14-ADIT'!$A$1:$N$189</definedName>
    <definedName name="_xlnm.Print_Area" localSheetId="24">'15-NUC'!$A$1:$G$20</definedName>
    <definedName name="_xlnm.Print_Area" localSheetId="27">'17-RegAssets-1'!$A$1:$K$73</definedName>
    <definedName name="_xlnm.Print_Area" localSheetId="30">'18-OandM'!$A$1:$Q$47</definedName>
    <definedName name="_xlnm.Print_Area" localSheetId="31">'19-AandG Corrected V1'!$A$1:$N$78</definedName>
    <definedName name="_xlnm.Print_Area" localSheetId="32">'19-AandG original'!$A$1:$N$78</definedName>
    <definedName name="_xlnm.Print_Area" localSheetId="33">'20-RevenueCredits Corrected V1'!$A$1:$K$70</definedName>
    <definedName name="_xlnm.Print_Area" localSheetId="34">'20-RevenueCredits Original'!$A$1:$K$70</definedName>
    <definedName name="_xlnm.Print_Area" localSheetId="35">'21-NPandS'!$A$1:$G$44</definedName>
    <definedName name="_xlnm.Print_Area" localSheetId="36">'22-TaxRates'!$A$1:$F$16</definedName>
    <definedName name="_xlnm.Print_Area" localSheetId="37">'23-RetailSGTax'!$A$1:$K$68</definedName>
    <definedName name="_xlnm.Print_Area" localSheetId="38">'24-Allocators'!$A$1:$F$64</definedName>
    <definedName name="_xlnm.Print_Area" localSheetId="39">'25-RFandUFactors'!$A$1:$G$25</definedName>
    <definedName name="_xlnm.Print_Area" localSheetId="40">'26-WholesaleTRRs'!$A$1:$I$59</definedName>
    <definedName name="_xlnm.Print_Area" localSheetId="42">'28-GrossLoad'!$A$1:$F$13</definedName>
    <definedName name="_xlnm.Print_Area" localSheetId="4">'2-ITRR'!$A$1:$G$35</definedName>
    <definedName name="_xlnm.Print_Area" localSheetId="5">'3-True-upTRR Corrected V1'!$A$1:$I$111</definedName>
    <definedName name="_xlnm.Print_Area" localSheetId="6">'3-True-upTRR Original'!$A$1:$I$111</definedName>
    <definedName name="_xlnm.Print_Area" localSheetId="7">'4-ATA Corrected V1'!$A$1:$L$148</definedName>
    <definedName name="_xlnm.Print_Area" localSheetId="8">'4-ATA Original'!$A$1:$L$148</definedName>
    <definedName name="_xlnm.Print_Area" localSheetId="9">'5-CostofCap-1 Corrected V1'!$A$1:$G$30</definedName>
    <definedName name="_xlnm.Print_Area" localSheetId="10">'5-CostofCap-1 Original'!$A$1:$G$30</definedName>
    <definedName name="_xlnm.Print_Area" localSheetId="11">'5-CostofCap-2 Corrected V1'!$A$1:$Q$57</definedName>
    <definedName name="_xlnm.Print_Area" localSheetId="12">'5-CostofCap-2 Original'!$A$1:$Q$57</definedName>
    <definedName name="_xlnm.Print_Area" localSheetId="13">'5-CostofCap-3'!$A$1:$H$25</definedName>
    <definedName name="_xlnm.Print_Area" localSheetId="14">'5-CostofCap-4'!$A$1:$K$47</definedName>
    <definedName name="_xlnm.Print_Area" localSheetId="15">'6-PlantJurisdiction'!$A$1:$J$29</definedName>
    <definedName name="_xlnm.Print_Area" localSheetId="16">'7-PlantInService'!$A$1:$R$136</definedName>
    <definedName name="_xlnm.Print_Area" localSheetId="17">'8-AbandonedPlant'!$A$1:$Q$22</definedName>
    <definedName name="_xlnm.Print_Area" localSheetId="0">'Cover Page'!$A$1:$F$23</definedName>
    <definedName name="Print_Area_MI" localSheetId="29">#REF!</definedName>
    <definedName name="Print_Area_MI">#REF!</definedName>
    <definedName name="_xlnm.Print_Titles" localSheetId="19">'10-AccDep'!$1:$2</definedName>
    <definedName name="_xlnm.Print_Titles" localSheetId="20">'11-Depreciation'!$1:$2</definedName>
    <definedName name="_xlnm.Print_Titles" localSheetId="22">'13-WorkCap'!$1:$2</definedName>
    <definedName name="_xlnm.Print_Titles" localSheetId="23">'14-ADIT'!$1:$2</definedName>
    <definedName name="_xlnm.Print_Titles" localSheetId="3">'1-BaseTRR'!$1:$2</definedName>
    <definedName name="_xlnm.Print_Titles" localSheetId="5">'3-True-upTRR Corrected V1'!$1:$2</definedName>
    <definedName name="_xlnm.Print_Titles" localSheetId="6">'3-True-upTRR Original'!$1:$2</definedName>
    <definedName name="_xlnm.Print_Titles" localSheetId="7">'4-ATA Corrected V1'!$1:$2</definedName>
    <definedName name="_xlnm.Print_Titles" localSheetId="8">'4-ATA Original'!$1:$2</definedName>
    <definedName name="_xlnm.Print_Titles" localSheetId="16">'7-PlantInService'!$1:$2</definedName>
    <definedName name="_xlnm.Print_Titles" localSheetId="18">'9-PlantAdditions'!$1:$5</definedName>
    <definedName name="q" localSheetId="29" hidden="1">#REF!</definedName>
    <definedName name="q" hidden="1">#REF!</definedName>
    <definedName name="qwer" localSheetId="19" hidden="1">{"PI_Data",#N/A,TRUE,"P&amp;I Data"}</definedName>
    <definedName name="qwer" localSheetId="20" hidden="1">{"PI_Data",#N/A,TRUE,"P&amp;I Data"}</definedName>
    <definedName name="qwer" localSheetId="21" hidden="1">{"PI_Data",#N/A,TRUE,"P&amp;I Data"}</definedName>
    <definedName name="qwer" localSheetId="22" hidden="1">{"PI_Data",#N/A,TRUE,"P&amp;I Data"}</definedName>
    <definedName name="qwer" localSheetId="23" hidden="1">{"PI_Data",#N/A,TRUE,"P&amp;I Data"}</definedName>
    <definedName name="qwer" localSheetId="24" hidden="1">{"PI_Data",#N/A,TRUE,"P&amp;I Data"}</definedName>
    <definedName name="qwer" localSheetId="25" hidden="1">{"PI_Data",#N/A,TRUE,"P&amp;I Data"}</definedName>
    <definedName name="qwer" localSheetId="26" hidden="1">{"PI_Data",#N/A,TRUE,"P&amp;I Data"}</definedName>
    <definedName name="qwer" localSheetId="27" hidden="1">{"PI_Data",#N/A,TRUE,"P&amp;I Data"}</definedName>
    <definedName name="qwer" localSheetId="28" hidden="1">{"PI_Data",#N/A,TRUE,"P&amp;I Data"}</definedName>
    <definedName name="qwer" localSheetId="29" hidden="1">{"PI_Data",#N/A,TRUE,"P&amp;I Data"}</definedName>
    <definedName name="qwer" localSheetId="30" hidden="1">{"PI_Data",#N/A,TRUE,"P&amp;I Data"}</definedName>
    <definedName name="qwer" localSheetId="33" hidden="1">{"PI_Data",#N/A,TRUE,"P&amp;I Data"}</definedName>
    <definedName name="qwer" localSheetId="34" hidden="1">{"PI_Data",#N/A,TRUE,"P&amp;I Data"}</definedName>
    <definedName name="qwer" localSheetId="35" hidden="1">{"PI_Data",#N/A,TRUE,"P&amp;I Data"}</definedName>
    <definedName name="qwer" localSheetId="36" hidden="1">{"PI_Data",#N/A,TRUE,"P&amp;I Data"}</definedName>
    <definedName name="qwer" localSheetId="37" hidden="1">{"PI_Data",#N/A,TRUE,"P&amp;I Data"}</definedName>
    <definedName name="qwer" localSheetId="38" hidden="1">{"PI_Data",#N/A,TRUE,"P&amp;I Data"}</definedName>
    <definedName name="qwer" localSheetId="39" hidden="1">{"PI_Data",#N/A,TRUE,"P&amp;I Data"}</definedName>
    <definedName name="qwer" localSheetId="40" hidden="1">{"PI_Data",#N/A,TRUE,"P&amp;I Data"}</definedName>
    <definedName name="qwer" localSheetId="41" hidden="1">{"PI_Data",#N/A,TRUE,"P&amp;I Data"}</definedName>
    <definedName name="qwer" localSheetId="42" hidden="1">{"PI_Data",#N/A,TRUE,"P&amp;I Data"}</definedName>
    <definedName name="qwer" localSheetId="13" hidden="1">{"PI_Data",#N/A,TRUE,"P&amp;I Data"}</definedName>
    <definedName name="qwer" localSheetId="15" hidden="1">{"PI_Data",#N/A,TRUE,"P&amp;I Data"}</definedName>
    <definedName name="qwer" localSheetId="16" hidden="1">{"PI_Data",#N/A,TRUE,"P&amp;I Data"}</definedName>
    <definedName name="qwer" localSheetId="17" hidden="1">{"PI_Data",#N/A,TRUE,"P&amp;I Data"}</definedName>
    <definedName name="qwer" localSheetId="18" hidden="1">{"PI_Data",#N/A,TRUE,"P&amp;I Data"}</definedName>
    <definedName name="qwer" hidden="1">{"PI_Data",#N/A,TRUE,"P&amp;I Data"}</definedName>
    <definedName name="QWER1" localSheetId="29" hidden="1">{"PI_Data",#N/A,TRUE,"P&amp;I Data"}</definedName>
    <definedName name="QWER1" hidden="1">{"PI_Data",#N/A,TRUE,"P&amp;I Data"}</definedName>
    <definedName name="qwer2" localSheetId="29" hidden="1">{"PI_Data",#N/A,TRUE,"P&amp;I Data"}</definedName>
    <definedName name="qwer2" hidden="1">{"PI_Data",#N/A,TRUE,"P&amp;I Data"}</definedName>
    <definedName name="QWERX" localSheetId="29" hidden="1">{"PI_Data",#N/A,TRUE,"P&amp;I Data"}</definedName>
    <definedName name="QWERX" hidden="1">{"PI_Data",#N/A,TRUE,"P&amp;I Data"}</definedName>
    <definedName name="right">#REF!</definedName>
    <definedName name="SAPBEXdnldView">"49BGT7GXT9EX51LLJXMJKZ8Y6"</definedName>
    <definedName name="SAPBEXhrIndnt">1</definedName>
    <definedName name="SAPBEXrevision" localSheetId="28" hidden="1">23</definedName>
    <definedName name="SAPBEXrevision">9</definedName>
    <definedName name="SAPBEXsysID">"BPR"</definedName>
    <definedName name="SAPBEXwbID" localSheetId="28" hidden="1">"4HQ4VKTSPDVV7Z9R01RIJVVW7"</definedName>
    <definedName name="SAPBEXwbID">"3XY8MM4SHGBHT4B7F8XEIC63B"</definedName>
    <definedName name="SAPBEXwbID2" localSheetId="28" hidden="1">"43PJT8J5QINLSBNFYJLE3ZU45"</definedName>
    <definedName name="SAPBEXwbID2">"3W3Y8WU9D4KB8I8XZYLB5WWMT"</definedName>
    <definedName name="SAPCrosstab1">#REF!</definedName>
    <definedName name="SAPEXwbID1">"471C2VSNPC28U9XYPMV2AOH11"</definedName>
    <definedName name="sds" localSheetId="29" hidden="1">{"Summary","1",FALSE,"Summary"}</definedName>
    <definedName name="sds" hidden="1">{"Summary","1",FALSE,"Summary"}</definedName>
    <definedName name="sdsb" localSheetId="29" hidden="1">{"Summary","1",FALSE,"Summary"}</definedName>
    <definedName name="sdsb" hidden="1">{"Summary","1",FALSE,"Summary"}</definedName>
    <definedName name="sencount">1</definedName>
    <definedName name="solver_lin" hidden="1">0</definedName>
    <definedName name="solver_num" hidden="1">0</definedName>
    <definedName name="solver_opt" localSheetId="19" hidden="1">#REF!</definedName>
    <definedName name="solver_opt" localSheetId="20" hidden="1">#REF!</definedName>
    <definedName name="solver_opt" localSheetId="21" hidden="1">#REF!</definedName>
    <definedName name="solver_opt" localSheetId="22" hidden="1">#REF!</definedName>
    <definedName name="solver_opt" localSheetId="23" hidden="1">#REF!</definedName>
    <definedName name="solver_opt" localSheetId="24" hidden="1">#REF!</definedName>
    <definedName name="solver_opt" localSheetId="25" hidden="1">#REF!</definedName>
    <definedName name="solver_opt" localSheetId="26" hidden="1">#REF!</definedName>
    <definedName name="solver_opt" localSheetId="27" hidden="1">#REF!</definedName>
    <definedName name="solver_opt" localSheetId="30" hidden="1">#REF!</definedName>
    <definedName name="solver_opt" localSheetId="33" hidden="1">#REF!</definedName>
    <definedName name="solver_opt" localSheetId="34" hidden="1">#REF!</definedName>
    <definedName name="solver_opt" localSheetId="35" hidden="1">#REF!</definedName>
    <definedName name="solver_opt" localSheetId="36" hidden="1">#REF!</definedName>
    <definedName name="solver_opt" localSheetId="37" hidden="1">#REF!</definedName>
    <definedName name="solver_opt" localSheetId="38" hidden="1">#REF!</definedName>
    <definedName name="solver_opt" localSheetId="39" hidden="1">#REF!</definedName>
    <definedName name="solver_opt" localSheetId="40" hidden="1">#REF!</definedName>
    <definedName name="solver_opt" localSheetId="41" hidden="1">#REF!</definedName>
    <definedName name="solver_opt" localSheetId="42" hidden="1">#REF!</definedName>
    <definedName name="solver_opt" localSheetId="5" hidden="1">#REF!</definedName>
    <definedName name="solver_opt" localSheetId="6" hidden="1">#REF!</definedName>
    <definedName name="solver_opt" localSheetId="9" hidden="1">#REF!</definedName>
    <definedName name="solver_opt" localSheetId="10" hidden="1">#REF!</definedName>
    <definedName name="solver_opt" localSheetId="11" hidden="1">#REF!</definedName>
    <definedName name="solver_opt" localSheetId="12" hidden="1">#REF!</definedName>
    <definedName name="solver_opt" localSheetId="13" hidden="1">#REF!</definedName>
    <definedName name="solver_opt" localSheetId="15" hidden="1">#REF!</definedName>
    <definedName name="solver_opt" localSheetId="16" hidden="1">#REF!</definedName>
    <definedName name="solver_opt" localSheetId="17" hidden="1">#REF!</definedName>
    <definedName name="solver_opt" localSheetId="18" hidden="1">#REF!</definedName>
    <definedName name="solver_opt" hidden="1">#REF!</definedName>
    <definedName name="solver_typ" hidden="1">1</definedName>
    <definedName name="solver_val" hidden="1">0</definedName>
    <definedName name="ssd" localSheetId="2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2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tep2" localSheetId="29" hidden="1">{#N/A,#N/A,FALSE,"CTC Summary - EOY";#N/A,#N/A,FALSE,"CTC Summary - Wtavg"}</definedName>
    <definedName name="Step2" hidden="1">{#N/A,#N/A,FALSE,"CTC Summary - EOY";#N/A,#N/A,FALSE,"CTC Summary - Wtavg"}</definedName>
    <definedName name="T" localSheetId="19" hidden="1">{"PI_Data",#N/A,TRUE,"P&amp;I Data"}</definedName>
    <definedName name="T" localSheetId="20" hidden="1">{"PI_Data",#N/A,TRUE,"P&amp;I Data"}</definedName>
    <definedName name="T" localSheetId="21" hidden="1">{"PI_Data",#N/A,TRUE,"P&amp;I Data"}</definedName>
    <definedName name="T" localSheetId="22" hidden="1">{"PI_Data",#N/A,TRUE,"P&amp;I Data"}</definedName>
    <definedName name="T" localSheetId="23" hidden="1">{"PI_Data",#N/A,TRUE,"P&amp;I Data"}</definedName>
    <definedName name="T" localSheetId="24" hidden="1">{"PI_Data",#N/A,TRUE,"P&amp;I Data"}</definedName>
    <definedName name="T" localSheetId="25" hidden="1">{"PI_Data",#N/A,TRUE,"P&amp;I Data"}</definedName>
    <definedName name="T" localSheetId="26" hidden="1">{"PI_Data",#N/A,TRUE,"P&amp;I Data"}</definedName>
    <definedName name="T" localSheetId="27" hidden="1">{"PI_Data",#N/A,TRUE,"P&amp;I Data"}</definedName>
    <definedName name="T" localSheetId="28" hidden="1">{"PI_Data",#N/A,TRUE,"P&amp;I Data"}</definedName>
    <definedName name="T" localSheetId="29" hidden="1">{"PI_Data",#N/A,TRUE,"P&amp;I Data"}</definedName>
    <definedName name="T" localSheetId="30" hidden="1">{"PI_Data",#N/A,TRUE,"P&amp;I Data"}</definedName>
    <definedName name="T" localSheetId="33" hidden="1">{"PI_Data",#N/A,TRUE,"P&amp;I Data"}</definedName>
    <definedName name="T" localSheetId="34" hidden="1">{"PI_Data",#N/A,TRUE,"P&amp;I Data"}</definedName>
    <definedName name="T" localSheetId="35" hidden="1">{"PI_Data",#N/A,TRUE,"P&amp;I Data"}</definedName>
    <definedName name="T" localSheetId="36" hidden="1">{"PI_Data",#N/A,TRUE,"P&amp;I Data"}</definedName>
    <definedName name="T" localSheetId="37" hidden="1">{"PI_Data",#N/A,TRUE,"P&amp;I Data"}</definedName>
    <definedName name="T" localSheetId="38" hidden="1">{"PI_Data",#N/A,TRUE,"P&amp;I Data"}</definedName>
    <definedName name="T" localSheetId="39" hidden="1">{"PI_Data",#N/A,TRUE,"P&amp;I Data"}</definedName>
    <definedName name="T" localSheetId="40" hidden="1">{"PI_Data",#N/A,TRUE,"P&amp;I Data"}</definedName>
    <definedName name="T" localSheetId="41" hidden="1">{"PI_Data",#N/A,TRUE,"P&amp;I Data"}</definedName>
    <definedName name="T" localSheetId="42" hidden="1">{"PI_Data",#N/A,TRUE,"P&amp;I Data"}</definedName>
    <definedName name="T" localSheetId="13" hidden="1">{"PI_Data",#N/A,TRUE,"P&amp;I Data"}</definedName>
    <definedName name="T" localSheetId="15" hidden="1">{"PI_Data",#N/A,TRUE,"P&amp;I Data"}</definedName>
    <definedName name="T" localSheetId="16" hidden="1">{"PI_Data",#N/A,TRUE,"P&amp;I Data"}</definedName>
    <definedName name="T" localSheetId="17" hidden="1">{"PI_Data",#N/A,TRUE,"P&amp;I Data"}</definedName>
    <definedName name="T" localSheetId="18" hidden="1">{"PI_Data",#N/A,TRUE,"P&amp;I Data"}</definedName>
    <definedName name="T" hidden="1">{"PI_Data",#N/A,TRUE,"P&amp;I Data"}</definedName>
    <definedName name="T2X" localSheetId="29" hidden="1">{"PI_Data",#N/A,TRUE,"P&amp;I Data"}</definedName>
    <definedName name="T2X" hidden="1">{"PI_Data",#N/A,TRUE,"P&amp;I Data"}</definedName>
    <definedName name="test" localSheetId="19" hidden="1">{"PI_Data",#N/A,TRUE,"P&amp;I Data"}</definedName>
    <definedName name="test" localSheetId="20" hidden="1">{"PI_Data",#N/A,TRUE,"P&amp;I Data"}</definedName>
    <definedName name="test" localSheetId="21" hidden="1">{"PI_Data",#N/A,TRUE,"P&amp;I Data"}</definedName>
    <definedName name="test" localSheetId="22" hidden="1">{"PI_Data",#N/A,TRUE,"P&amp;I Data"}</definedName>
    <definedName name="test" localSheetId="23" hidden="1">{"PI_Data",#N/A,TRUE,"P&amp;I Data"}</definedName>
    <definedName name="test" localSheetId="24" hidden="1">{"PI_Data",#N/A,TRUE,"P&amp;I Data"}</definedName>
    <definedName name="test" localSheetId="25" hidden="1">{"PI_Data",#N/A,TRUE,"P&amp;I Data"}</definedName>
    <definedName name="test" localSheetId="26" hidden="1">{"PI_Data",#N/A,TRUE,"P&amp;I Data"}</definedName>
    <definedName name="test" localSheetId="27" hidden="1">{"PI_Data",#N/A,TRUE,"P&amp;I Data"}</definedName>
    <definedName name="test" localSheetId="29" hidden="1">{"PI_Data",#N/A,TRUE,"P&amp;I Data"}</definedName>
    <definedName name="test" localSheetId="30" hidden="1">{"PI_Data",#N/A,TRUE,"P&amp;I Data"}</definedName>
    <definedName name="test" localSheetId="33" hidden="1">{"PI_Data",#N/A,TRUE,"P&amp;I Data"}</definedName>
    <definedName name="test" localSheetId="34" hidden="1">{"PI_Data",#N/A,TRUE,"P&amp;I Data"}</definedName>
    <definedName name="test" localSheetId="35" hidden="1">{"PI_Data",#N/A,TRUE,"P&amp;I Data"}</definedName>
    <definedName name="test" localSheetId="36" hidden="1">{"PI_Data",#N/A,TRUE,"P&amp;I Data"}</definedName>
    <definedName name="test" localSheetId="37" hidden="1">{"PI_Data",#N/A,TRUE,"P&amp;I Data"}</definedName>
    <definedName name="test" localSheetId="38" hidden="1">{"PI_Data",#N/A,TRUE,"P&amp;I Data"}</definedName>
    <definedName name="test" localSheetId="39" hidden="1">{"PI_Data",#N/A,TRUE,"P&amp;I Data"}</definedName>
    <definedName name="test" localSheetId="40" hidden="1">{"PI_Data",#N/A,TRUE,"P&amp;I Data"}</definedName>
    <definedName name="test" localSheetId="41" hidden="1">{"PI_Data",#N/A,TRUE,"P&amp;I Data"}</definedName>
    <definedName name="test" localSheetId="42" hidden="1">{"PI_Data",#N/A,TRUE,"P&amp;I Data"}</definedName>
    <definedName name="test" localSheetId="13" hidden="1">{"PI_Data",#N/A,TRUE,"P&amp;I Data"}</definedName>
    <definedName name="test" localSheetId="15" hidden="1">{"PI_Data",#N/A,TRUE,"P&amp;I Data"}</definedName>
    <definedName name="test" localSheetId="16" hidden="1">{"PI_Data",#N/A,TRUE,"P&amp;I Data"}</definedName>
    <definedName name="test" localSheetId="17" hidden="1">{"PI_Data",#N/A,TRUE,"P&amp;I Data"}</definedName>
    <definedName name="test" localSheetId="18" hidden="1">{"PI_Data",#N/A,TRUE,"P&amp;I Data"}</definedName>
    <definedName name="test" hidden="1">{"PI_Data",#N/A,TRUE,"P&amp;I Data"}</definedName>
    <definedName name="text">"($ in '000s)"</definedName>
    <definedName name="TP_Footer_Path" hidden="1">"S:\23150\05RET\exec calcs\Chinn\"</definedName>
    <definedName name="TP_Footer_User" hidden="1">"CORBINP"</definedName>
    <definedName name="TP_Footer_Version" hidden="1">"v3.00"</definedName>
    <definedName name="TT" localSheetId="29" hidden="1">{"PI_Data",#N/A,TRUE,"P&amp;I Data"}</definedName>
    <definedName name="TT" hidden="1">{"PI_Data",#N/A,TRUE,"P&amp;I Data"}</definedName>
    <definedName name="ttttttttttttttttttttttaaaaaaaaaaaa" localSheetId="29" hidden="1">{"PI_Data",#N/A,TRUE,"P&amp;I Data"}</definedName>
    <definedName name="ttttttttttttttttttttttaaaaaaaaaaaa" hidden="1">{"PI_Data",#N/A,TRUE,"P&amp;I Data"}</definedName>
    <definedName name="UCC_500" localSheetId="29" hidden="1">'[1]1_1'!$Z$78:$AA$92</definedName>
    <definedName name="UCC_500" hidden="1">'[2]1_1'!$Z$78:$AA$92</definedName>
    <definedName name="UCC_510" localSheetId="29" hidden="1">'[1]1_1'!$Z$78:$AB$83</definedName>
    <definedName name="UCC_510" hidden="1">'[2]1_1'!$Z$78:$AB$83</definedName>
    <definedName name="UCC_800" localSheetId="29" hidden="1">'[1]1_1'!$Y$48:$Z$97</definedName>
    <definedName name="UCC_800" hidden="1">'[2]1_1'!$Y$48:$Z$97</definedName>
    <definedName name="UCC_801" localSheetId="29" hidden="1">'[1]1_1'!$Z$54:$AB$74</definedName>
    <definedName name="UCC_801" hidden="1">'[2]1_1'!$Z$54:$AB$74</definedName>
    <definedName name="UCC_802" localSheetId="29" hidden="1">'[1]1_1'!$Z$78:$AC$97</definedName>
    <definedName name="UCC_802" hidden="1">'[2]1_1'!$Z$78:$AC$97</definedName>
    <definedName name="wrn.Accelerated." localSheetId="19" hidden="1">{#N/A,#N/A,FALSE,"CTC Summary - EOY";#N/A,#N/A,FALSE,"CTC Summary - Wtavg"}</definedName>
    <definedName name="wrn.Accelerated." localSheetId="20" hidden="1">{#N/A,#N/A,FALSE,"CTC Summary - EOY";#N/A,#N/A,FALSE,"CTC Summary - Wtavg"}</definedName>
    <definedName name="wrn.Accelerated." localSheetId="21" hidden="1">{#N/A,#N/A,FALSE,"CTC Summary - EOY";#N/A,#N/A,FALSE,"CTC Summary - Wtavg"}</definedName>
    <definedName name="wrn.Accelerated." localSheetId="22" hidden="1">{#N/A,#N/A,FALSE,"CTC Summary - EOY";#N/A,#N/A,FALSE,"CTC Summary - Wtavg"}</definedName>
    <definedName name="wrn.Accelerated." localSheetId="23" hidden="1">{#N/A,#N/A,FALSE,"CTC Summary - EOY";#N/A,#N/A,FALSE,"CTC Summary - Wtavg"}</definedName>
    <definedName name="wrn.Accelerated." localSheetId="24" hidden="1">{#N/A,#N/A,FALSE,"CTC Summary - EOY";#N/A,#N/A,FALSE,"CTC Summary - Wtavg"}</definedName>
    <definedName name="wrn.Accelerated." localSheetId="25" hidden="1">{#N/A,#N/A,FALSE,"CTC Summary - EOY";#N/A,#N/A,FALSE,"CTC Summary - Wtavg"}</definedName>
    <definedName name="wrn.Accelerated." localSheetId="26" hidden="1">{#N/A,#N/A,FALSE,"CTC Summary - EOY";#N/A,#N/A,FALSE,"CTC Summary - Wtavg"}</definedName>
    <definedName name="wrn.Accelerated." localSheetId="27" hidden="1">{#N/A,#N/A,FALSE,"CTC Summary - EOY";#N/A,#N/A,FALSE,"CTC Summary - Wtavg"}</definedName>
    <definedName name="wrn.Accelerated." localSheetId="28" hidden="1">{#N/A,#N/A,FALSE,"CTC Summary - EOY";#N/A,#N/A,FALSE,"CTC Summary - Wtavg"}</definedName>
    <definedName name="wrn.Accelerated." localSheetId="29" hidden="1">{#N/A,#N/A,FALSE,"CTC Summary - EOY";#N/A,#N/A,FALSE,"CTC Summary - Wtavg"}</definedName>
    <definedName name="wrn.Accelerated." localSheetId="30" hidden="1">{#N/A,#N/A,FALSE,"CTC Summary - EOY";#N/A,#N/A,FALSE,"CTC Summary - Wtavg"}</definedName>
    <definedName name="wrn.Accelerated." localSheetId="33" hidden="1">{#N/A,#N/A,FALSE,"CTC Summary - EOY";#N/A,#N/A,FALSE,"CTC Summary - Wtavg"}</definedName>
    <definedName name="wrn.Accelerated." localSheetId="34" hidden="1">{#N/A,#N/A,FALSE,"CTC Summary - EOY";#N/A,#N/A,FALSE,"CTC Summary - Wtavg"}</definedName>
    <definedName name="wrn.Accelerated." localSheetId="35" hidden="1">{#N/A,#N/A,FALSE,"CTC Summary - EOY";#N/A,#N/A,FALSE,"CTC Summary - Wtavg"}</definedName>
    <definedName name="wrn.Accelerated." localSheetId="36" hidden="1">{#N/A,#N/A,FALSE,"CTC Summary - EOY";#N/A,#N/A,FALSE,"CTC Summary - Wtavg"}</definedName>
    <definedName name="wrn.Accelerated." localSheetId="37" hidden="1">{#N/A,#N/A,FALSE,"CTC Summary - EOY";#N/A,#N/A,FALSE,"CTC Summary - Wtavg"}</definedName>
    <definedName name="wrn.Accelerated." localSheetId="38" hidden="1">{#N/A,#N/A,FALSE,"CTC Summary - EOY";#N/A,#N/A,FALSE,"CTC Summary - Wtavg"}</definedName>
    <definedName name="wrn.Accelerated." localSheetId="39" hidden="1">{#N/A,#N/A,FALSE,"CTC Summary - EOY";#N/A,#N/A,FALSE,"CTC Summary - Wtavg"}</definedName>
    <definedName name="wrn.Accelerated." localSheetId="40" hidden="1">{#N/A,#N/A,FALSE,"CTC Summary - EOY";#N/A,#N/A,FALSE,"CTC Summary - Wtavg"}</definedName>
    <definedName name="wrn.Accelerated." localSheetId="41" hidden="1">{#N/A,#N/A,FALSE,"CTC Summary - EOY";#N/A,#N/A,FALSE,"CTC Summary - Wtavg"}</definedName>
    <definedName name="wrn.Accelerated." localSheetId="42" hidden="1">{#N/A,#N/A,FALSE,"CTC Summary - EOY";#N/A,#N/A,FALSE,"CTC Summary - Wtavg"}</definedName>
    <definedName name="wrn.Accelerated." localSheetId="13" hidden="1">{#N/A,#N/A,FALSE,"CTC Summary - EOY";#N/A,#N/A,FALSE,"CTC Summary - Wtavg"}</definedName>
    <definedName name="wrn.Accelerated." localSheetId="15" hidden="1">{#N/A,#N/A,FALSE,"CTC Summary - EOY";#N/A,#N/A,FALSE,"CTC Summary - Wtavg"}</definedName>
    <definedName name="wrn.Accelerated." localSheetId="16" hidden="1">{#N/A,#N/A,FALSE,"CTC Summary - EOY";#N/A,#N/A,FALSE,"CTC Summary - Wtavg"}</definedName>
    <definedName name="wrn.Accelerated." localSheetId="17" hidden="1">{#N/A,#N/A,FALSE,"CTC Summary - EOY";#N/A,#N/A,FALSE,"CTC Summary - Wtavg"}</definedName>
    <definedName name="wrn.Accelerated." localSheetId="18" hidden="1">{#N/A,#N/A,FALSE,"CTC Summary - EOY";#N/A,#N/A,FALSE,"CTC Summary - Wtavg"}</definedName>
    <definedName name="wrn.Accelerated." hidden="1">{#N/A,#N/A,FALSE,"CTC Summary - EOY";#N/A,#N/A,FALSE,"CTC Summary - Wtavg"}</definedName>
    <definedName name="wrn.accellerated1" localSheetId="19" hidden="1">{#N/A,#N/A,FALSE,"CTC Summary - EOY";#N/A,#N/A,FALSE,"CTC Summary - Wtavg"}</definedName>
    <definedName name="wrn.accellerated1" localSheetId="20" hidden="1">{#N/A,#N/A,FALSE,"CTC Summary - EOY";#N/A,#N/A,FALSE,"CTC Summary - Wtavg"}</definedName>
    <definedName name="wrn.accellerated1" localSheetId="21" hidden="1">{#N/A,#N/A,FALSE,"CTC Summary - EOY";#N/A,#N/A,FALSE,"CTC Summary - Wtavg"}</definedName>
    <definedName name="wrn.accellerated1" localSheetId="22" hidden="1">{#N/A,#N/A,FALSE,"CTC Summary - EOY";#N/A,#N/A,FALSE,"CTC Summary - Wtavg"}</definedName>
    <definedName name="wrn.accellerated1" localSheetId="23" hidden="1">{#N/A,#N/A,FALSE,"CTC Summary - EOY";#N/A,#N/A,FALSE,"CTC Summary - Wtavg"}</definedName>
    <definedName name="wrn.accellerated1" localSheetId="24" hidden="1">{#N/A,#N/A,FALSE,"CTC Summary - EOY";#N/A,#N/A,FALSE,"CTC Summary - Wtavg"}</definedName>
    <definedName name="wrn.accellerated1" localSheetId="25" hidden="1">{#N/A,#N/A,FALSE,"CTC Summary - EOY";#N/A,#N/A,FALSE,"CTC Summary - Wtavg"}</definedName>
    <definedName name="wrn.accellerated1" localSheetId="26" hidden="1">{#N/A,#N/A,FALSE,"CTC Summary - EOY";#N/A,#N/A,FALSE,"CTC Summary - Wtavg"}</definedName>
    <definedName name="wrn.accellerated1" localSheetId="27" hidden="1">{#N/A,#N/A,FALSE,"CTC Summary - EOY";#N/A,#N/A,FALSE,"CTC Summary - Wtavg"}</definedName>
    <definedName name="wrn.accellerated1" localSheetId="28" hidden="1">{#N/A,#N/A,FALSE,"CTC Summary - EOY";#N/A,#N/A,FALSE,"CTC Summary - Wtavg"}</definedName>
    <definedName name="wrn.accellerated1" localSheetId="29" hidden="1">{#N/A,#N/A,FALSE,"CTC Summary - EOY";#N/A,#N/A,FALSE,"CTC Summary - Wtavg"}</definedName>
    <definedName name="wrn.accellerated1" localSheetId="30" hidden="1">{#N/A,#N/A,FALSE,"CTC Summary - EOY";#N/A,#N/A,FALSE,"CTC Summary - Wtavg"}</definedName>
    <definedName name="wrn.accellerated1" localSheetId="33" hidden="1">{#N/A,#N/A,FALSE,"CTC Summary - EOY";#N/A,#N/A,FALSE,"CTC Summary - Wtavg"}</definedName>
    <definedName name="wrn.accellerated1" localSheetId="34" hidden="1">{#N/A,#N/A,FALSE,"CTC Summary - EOY";#N/A,#N/A,FALSE,"CTC Summary - Wtavg"}</definedName>
    <definedName name="wrn.accellerated1" localSheetId="35" hidden="1">{#N/A,#N/A,FALSE,"CTC Summary - EOY";#N/A,#N/A,FALSE,"CTC Summary - Wtavg"}</definedName>
    <definedName name="wrn.accellerated1" localSheetId="36" hidden="1">{#N/A,#N/A,FALSE,"CTC Summary - EOY";#N/A,#N/A,FALSE,"CTC Summary - Wtavg"}</definedName>
    <definedName name="wrn.accellerated1" localSheetId="37" hidden="1">{#N/A,#N/A,FALSE,"CTC Summary - EOY";#N/A,#N/A,FALSE,"CTC Summary - Wtavg"}</definedName>
    <definedName name="wrn.accellerated1" localSheetId="38" hidden="1">{#N/A,#N/A,FALSE,"CTC Summary - EOY";#N/A,#N/A,FALSE,"CTC Summary - Wtavg"}</definedName>
    <definedName name="wrn.accellerated1" localSheetId="39" hidden="1">{#N/A,#N/A,FALSE,"CTC Summary - EOY";#N/A,#N/A,FALSE,"CTC Summary - Wtavg"}</definedName>
    <definedName name="wrn.accellerated1" localSheetId="40" hidden="1">{#N/A,#N/A,FALSE,"CTC Summary - EOY";#N/A,#N/A,FALSE,"CTC Summary - Wtavg"}</definedName>
    <definedName name="wrn.accellerated1" localSheetId="41" hidden="1">{#N/A,#N/A,FALSE,"CTC Summary - EOY";#N/A,#N/A,FALSE,"CTC Summary - Wtavg"}</definedName>
    <definedName name="wrn.accellerated1" localSheetId="42" hidden="1">{#N/A,#N/A,FALSE,"CTC Summary - EOY";#N/A,#N/A,FALSE,"CTC Summary - Wtavg"}</definedName>
    <definedName name="wrn.accellerated1" localSheetId="13" hidden="1">{#N/A,#N/A,FALSE,"CTC Summary - EOY";#N/A,#N/A,FALSE,"CTC Summary - Wtavg"}</definedName>
    <definedName name="wrn.accellerated1" localSheetId="15" hidden="1">{#N/A,#N/A,FALSE,"CTC Summary - EOY";#N/A,#N/A,FALSE,"CTC Summary - Wtavg"}</definedName>
    <definedName name="wrn.accellerated1" localSheetId="16" hidden="1">{#N/A,#N/A,FALSE,"CTC Summary - EOY";#N/A,#N/A,FALSE,"CTC Summary - Wtavg"}</definedName>
    <definedName name="wrn.accellerated1" localSheetId="17" hidden="1">{#N/A,#N/A,FALSE,"CTC Summary - EOY";#N/A,#N/A,FALSE,"CTC Summary - Wtavg"}</definedName>
    <definedName name="wrn.accellerated1" localSheetId="18" hidden="1">{#N/A,#N/A,FALSE,"CTC Summary - EOY";#N/A,#N/A,FALSE,"CTC Summary - Wtavg"}</definedName>
    <definedName name="wrn.accellerated1" hidden="1">{#N/A,#N/A,FALSE,"CTC Summary - EOY";#N/A,#N/A,FALSE,"CTC Summary - Wtavg"}</definedName>
    <definedName name="wrn.AG." localSheetId="29" hidden="1">{#N/A,#N/A,FALSE,"AG-1";#N/A,#N/A,FALSE,"AG-R";#N/A,#N/A,FALSE,"AG-V";#N/A,#N/A,FALSE,"AG-4";#N/A,#N/A,FALSE,"AG-5";#N/A,#N/A,FALSE,"AG-6";#N/A,#N/A,FALSE,"AG-7"}</definedName>
    <definedName name="wrn.AG." localSheetId="17" hidden="1">{#N/A,#N/A,FALSE,"AG-1";#N/A,#N/A,FALSE,"AG-R";#N/A,#N/A,FALSE,"AG-V";#N/A,#N/A,FALSE,"AG-4";#N/A,#N/A,FALSE,"AG-5";#N/A,#N/A,FALSE,"AG-6";#N/A,#N/A,FALSE,"AG-7"}</definedName>
    <definedName name="wrn.AG." hidden="1">{#N/A,#N/A,FALSE,"AG-1";#N/A,#N/A,FALSE,"AG-R";#N/A,#N/A,FALSE,"AG-V";#N/A,#N/A,FALSE,"AG-4";#N/A,#N/A,FALSE,"AG-5";#N/A,#N/A,FALSE,"AG-6";#N/A,#N/A,FALSE,"AG-7"}</definedName>
    <definedName name="wrn.AGa." localSheetId="29" hidden="1">{#N/A,#N/A,FALSE,"UN-AGRA";#N/A,#N/A,FALSE,"UN-AG1A";#N/A,#N/A,FALSE,"UN-AGVA";#N/A,#N/A,FALSE,"UN-AG4A ";#N/A,#N/A,FALSE,"UN-AG5A";#N/A,#N/A,FALSE,"UN-AG6A";#N/A,#N/A,FALSE,"Dist Calcs";#N/A,#N/A,FALSE,"7A-Avg.";#N/A,#N/A,FALSE,"7A Tier1-avg";#N/A,#N/A,FALSE,"7A Tier2-avg";#N/A,#N/A,FALSE,"Ag-7A Dist Calc"}</definedName>
    <definedName name="wrn.AGa." localSheetId="17" hidden="1">{#N/A,#N/A,FALSE,"UN-AGRA";#N/A,#N/A,FALSE,"UN-AG1A";#N/A,#N/A,FALSE,"UN-AGVA";#N/A,#N/A,FALSE,"UN-AG4A ";#N/A,#N/A,FALSE,"UN-AG5A";#N/A,#N/A,FALSE,"UN-AG6A";#N/A,#N/A,FALSE,"Dist Calcs";#N/A,#N/A,FALSE,"7A-Avg.";#N/A,#N/A,FALSE,"7A Tier1-avg";#N/A,#N/A,FALSE,"7A Tier2-avg";#N/A,#N/A,FALSE,"Ag-7A Dist Calc"}</definedName>
    <definedName name="wrn.AGa." hidden="1">{#N/A,#N/A,FALSE,"UN-AGRA";#N/A,#N/A,FALSE,"UN-AG1A";#N/A,#N/A,FALSE,"UN-AGVA";#N/A,#N/A,FALSE,"UN-AG4A ";#N/A,#N/A,FALSE,"UN-AG5A";#N/A,#N/A,FALSE,"UN-AG6A";#N/A,#N/A,FALSE,"Dist Calcs";#N/A,#N/A,FALSE,"7A-Avg.";#N/A,#N/A,FALSE,"7A Tier1-avg";#N/A,#N/A,FALSE,"7A Tier2-avg";#N/A,#N/A,FALSE,"Ag-7A Dist Calc"}</definedName>
    <definedName name="wrn.Agb." localSheetId="29"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localSheetId="17"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hidden="1">{#N/A,#N/A,FALSE,"UN-AG1B";#N/A,#N/A,FALSE,"UN-AGRB  ";#N/A,#N/A,FALSE,"UN-AGVB ";#N/A,#N/A,FALSE,"UN-AG4B";#N/A,#N/A,FALSE,"UN-AG4C";#N/A,#N/A,FALSE,"UN-AG5B";#N/A,#N/A,FALSE,"UN-AG5C ";#N/A,#N/A,FALSE,"UN-AG6B";#N/A,#N/A,FALSE,"Dist Cals";#N/A,#N/A,FALSE,"7B-Avg.";#N/A,#N/A,FALSE,"7B Tier1-avg";#N/A,#N/A,FALSE,"7B Tier2-avg";#N/A,#N/A,FALSE,"Ag-7B Dist Calc";#N/A,#N/A,FALSE,"AG RL Calc"}</definedName>
    <definedName name="wrn.All._.Sheets._.Engrs._.PMs." localSheetId="2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comind." localSheetId="29" hidden="1">{#N/A,#N/A,FALSE,"A-1, A-6, A-10, A-15";#N/A,#N/A,FALSE,"E-19 Firm";#N/A,#N/A,FALSE,"E-19 Nonfirm";#N/A,#N/A,FALSE,"E-20 Firm ";#N/A,#N/A,FALSE,"E-20 Nonfirm ";#N/A,#N/A,FALSE,"E-25";#N/A,#N/A,FALSE,"E-36, E-37";#N/A,#N/A,FALSE,"LS-1,-2,-3, TC-1, OL-1";#N/A,#N/A,FALSE,"Standby"}</definedName>
    <definedName name="wrn.comind." localSheetId="17" hidden="1">{#N/A,#N/A,FALSE,"A-1, A-6, A-10, A-15";#N/A,#N/A,FALSE,"E-19 Firm";#N/A,#N/A,FALSE,"E-19 Nonfirm";#N/A,#N/A,FALSE,"E-20 Firm ";#N/A,#N/A,FALSE,"E-20 Nonfirm ";#N/A,#N/A,FALSE,"E-25";#N/A,#N/A,FALSE,"E-36, E-37";#N/A,#N/A,FALSE,"LS-1,-2,-3, TC-1, OL-1";#N/A,#N/A,FALSE,"Standby"}</definedName>
    <definedName name="wrn.comind." hidden="1">{#N/A,#N/A,FALSE,"A-1, A-6, A-10, A-15";#N/A,#N/A,FALSE,"E-19 Firm";#N/A,#N/A,FALSE,"E-19 Nonfirm";#N/A,#N/A,FALSE,"E-20 Firm ";#N/A,#N/A,FALSE,"E-20 Nonfirm ";#N/A,#N/A,FALSE,"E-25";#N/A,#N/A,FALSE,"E-36, E-37";#N/A,#N/A,FALSE,"LS-1,-2,-3, TC-1, OL-1";#N/A,#N/A,FALSE,"Standby"}</definedName>
    <definedName name="wrn.Distr." localSheetId="28" hidden="1">{#N/A,#N/A,FALSE,"Dist Rev at PR ";#N/A,#N/A,FALSE,"Spec";#N/A,#N/A,FALSE,"Res";#N/A,#N/A,FALSE,"Small L&amp;P";#N/A,#N/A,FALSE,"Medium L&amp;P";#N/A,#N/A,FALSE,"E-19";#N/A,#N/A,FALSE,"E-20";#N/A,#N/A,FALSE,"Strtlts &amp; Standby";#N/A,#N/A,FALSE,"A-RTP";#N/A,#N/A,FALSE,"2003mixeduse"}</definedName>
    <definedName name="wrn.Distr." localSheetId="29" hidden="1">{#N/A,#N/A,FALSE,"Dist Rev at PR ";#N/A,#N/A,FALSE,"Spec";#N/A,#N/A,FALSE,"Res";#N/A,#N/A,FALSE,"Small L&amp;P";#N/A,#N/A,FALSE,"Medium L&amp;P";#N/A,#N/A,FALSE,"E-19";#N/A,#N/A,FALSE,"E-20";#N/A,#N/A,FALSE,"Strtlts &amp; Standby";#N/A,#N/A,FALSE,"A-RTP";#N/A,#N/A,FALSE,"2003mixeduse"}</definedName>
    <definedName name="wrn.Distr." localSheetId="17" hidden="1">{#N/A,#N/A,FALSE,"Dist Rev at PR ";#N/A,#N/A,FALSE,"Spec";#N/A,#N/A,FALSE,"Res";#N/A,#N/A,FALSE,"Small L&amp;P";#N/A,#N/A,FALSE,"Medium L&amp;P";#N/A,#N/A,FALSE,"E-19";#N/A,#N/A,FALSE,"E-20";#N/A,#N/A,FALSE,"Strtlts &amp; Standby";#N/A,#N/A,FALSE,"A-RTP";#N/A,#N/A,FALSE,"2003mixeduse"}</definedName>
    <definedName name="wrn.Distr." hidden="1">{#N/A,#N/A,FALSE,"Dist Rev at PR ";#N/A,#N/A,FALSE,"Spec";#N/A,#N/A,FALSE,"Res";#N/A,#N/A,FALSE,"Small L&amp;P";#N/A,#N/A,FALSE,"Medium L&amp;P";#N/A,#N/A,FALSE,"E-19";#N/A,#N/A,FALSE,"E-20";#N/A,#N/A,FALSE,"Strtlts &amp; Standby";#N/A,#N/A,FALSE,"A-RTP";#N/A,#N/A,FALSE,"2003mixeduse"}</definedName>
    <definedName name="wrn.Div._.Estimators." localSheetId="2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localSheetId="29"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localSheetId="29"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localSheetId="29"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localSheetId="29"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JE9DOLLARS." localSheetId="29" hidden="1">{"JE9DOLLARS",#N/A,FALSE,"JE9"}</definedName>
    <definedName name="wrn.JE9DOLLARS." hidden="1">{"JE9DOLLARS",#N/A,FALSE,"JE9"}</definedName>
    <definedName name="wrn.JE9DTHS." localSheetId="29" hidden="1">{"JE9DTHS",#N/A,FALSE,"JE9"}</definedName>
    <definedName name="wrn.JE9DTHS." hidden="1">{"JE9DTHS",#N/A,FALSE,"JE9"}</definedName>
    <definedName name="wrn.JE9MCF." localSheetId="29" hidden="1">{"JE9MCF",#N/A,FALSE,"JE9"}</definedName>
    <definedName name="wrn.JE9MCF." hidden="1">{"JE9MCF",#N/A,FALSE,"JE9"}</definedName>
    <definedName name="wrn.ND." localSheetId="28" hidden="1">{#N/A,#N/A,FALSE,"ND Rev at Pres Rates";#N/A,#N/A,FALSE,"Res - Unadj sales";#N/A,#N/A,FALSE,"Small L&amp;P";#N/A,#N/A,FALSE,"Medium L&amp;P";#N/A,#N/A,FALSE,"E-19";#N/A,#N/A,FALSE,"E-20";#N/A,#N/A,FALSE,"Strtlts &amp; Standby";#N/A,#N/A,FALSE,"AG";#N/A,#N/A,FALSE,"A-RTP";#N/A,#N/A,FALSE,"Spec"}</definedName>
    <definedName name="wrn.ND." localSheetId="29" hidden="1">{#N/A,#N/A,FALSE,"ND Rev at Pres Rates";#N/A,#N/A,FALSE,"Res - Unadj sales";#N/A,#N/A,FALSE,"Small L&amp;P";#N/A,#N/A,FALSE,"Medium L&amp;P";#N/A,#N/A,FALSE,"E-19";#N/A,#N/A,FALSE,"E-20";#N/A,#N/A,FALSE,"Strtlts &amp; Standby";#N/A,#N/A,FALSE,"AG";#N/A,#N/A,FALSE,"A-RTP";#N/A,#N/A,FALSE,"Spec"}</definedName>
    <definedName name="wrn.ND." localSheetId="17" hidden="1">{#N/A,#N/A,FALSE,"ND Rev at Pres Rates";#N/A,#N/A,FALSE,"Res - Unadj sales";#N/A,#N/A,FALSE,"Small L&amp;P";#N/A,#N/A,FALSE,"Medium L&amp;P";#N/A,#N/A,FALSE,"E-19";#N/A,#N/A,FALSE,"E-20";#N/A,#N/A,FALSE,"Strtlts &amp; Standby";#N/A,#N/A,FALSE,"AG";#N/A,#N/A,FALSE,"A-RTP";#N/A,#N/A,FALSE,"Spec"}</definedName>
    <definedName name="wrn.ND." hidden="1">{#N/A,#N/A,FALSE,"ND Rev at Pres Rates";#N/A,#N/A,FALSE,"Res - Unadj sales";#N/A,#N/A,FALSE,"Small L&amp;P";#N/A,#N/A,FALSE,"Medium L&amp;P";#N/A,#N/A,FALSE,"E-19";#N/A,#N/A,FALSE,"E-20";#N/A,#N/A,FALSE,"Strtlts &amp; Standby";#N/A,#N/A,FALSE,"AG";#N/A,#N/A,FALSE,"A-RTP";#N/A,#N/A,FALSE,"Spec"}</definedName>
    <definedName name="wrn.PI_Report." localSheetId="19" hidden="1">{"PI_Data",#N/A,TRUE,"P&amp;I Data"}</definedName>
    <definedName name="wrn.PI_Report." localSheetId="20" hidden="1">{"PI_Data",#N/A,TRUE,"P&amp;I Data"}</definedName>
    <definedName name="wrn.PI_Report." localSheetId="21" hidden="1">{"PI_Data",#N/A,TRUE,"P&amp;I Data"}</definedName>
    <definedName name="wrn.PI_Report." localSheetId="22" hidden="1">{"PI_Data",#N/A,TRUE,"P&amp;I Data"}</definedName>
    <definedName name="wrn.PI_Report." localSheetId="23" hidden="1">{"PI_Data",#N/A,TRUE,"P&amp;I Data"}</definedName>
    <definedName name="wrn.PI_Report." localSheetId="24" hidden="1">{"PI_Data",#N/A,TRUE,"P&amp;I Data"}</definedName>
    <definedName name="wrn.PI_Report." localSheetId="25" hidden="1">{"PI_Data",#N/A,TRUE,"P&amp;I Data"}</definedName>
    <definedName name="wrn.PI_Report." localSheetId="26" hidden="1">{"PI_Data",#N/A,TRUE,"P&amp;I Data"}</definedName>
    <definedName name="wrn.PI_Report." localSheetId="27" hidden="1">{"PI_Data",#N/A,TRUE,"P&amp;I Data"}</definedName>
    <definedName name="wrn.PI_Report." localSheetId="28" hidden="1">{"PI_Data",#N/A,TRUE,"P&amp;I Data"}</definedName>
    <definedName name="wrn.PI_Report." localSheetId="29" hidden="1">{"PI_Data",#N/A,TRUE,"P&amp;I Data"}</definedName>
    <definedName name="wrn.PI_Report." localSheetId="30" hidden="1">{"PI_Data",#N/A,TRUE,"P&amp;I Data"}</definedName>
    <definedName name="wrn.PI_Report." localSheetId="33" hidden="1">{"PI_Data",#N/A,TRUE,"P&amp;I Data"}</definedName>
    <definedName name="wrn.PI_Report." localSheetId="34" hidden="1">{"PI_Data",#N/A,TRUE,"P&amp;I Data"}</definedName>
    <definedName name="wrn.PI_Report." localSheetId="35" hidden="1">{"PI_Data",#N/A,TRUE,"P&amp;I Data"}</definedName>
    <definedName name="wrn.PI_Report." localSheetId="36" hidden="1">{"PI_Data",#N/A,TRUE,"P&amp;I Data"}</definedName>
    <definedName name="wrn.PI_Report." localSheetId="37" hidden="1">{"PI_Data",#N/A,TRUE,"P&amp;I Data"}</definedName>
    <definedName name="wrn.PI_Report." localSheetId="38" hidden="1">{"PI_Data",#N/A,TRUE,"P&amp;I Data"}</definedName>
    <definedName name="wrn.PI_Report." localSheetId="39" hidden="1">{"PI_Data",#N/A,TRUE,"P&amp;I Data"}</definedName>
    <definedName name="wrn.PI_Report." localSheetId="40" hidden="1">{"PI_Data",#N/A,TRUE,"P&amp;I Data"}</definedName>
    <definedName name="wrn.PI_Report." localSheetId="41" hidden="1">{"PI_Data",#N/A,TRUE,"P&amp;I Data"}</definedName>
    <definedName name="wrn.PI_Report." localSheetId="42" hidden="1">{"PI_Data",#N/A,TRUE,"P&amp;I Data"}</definedName>
    <definedName name="wrn.PI_Report." localSheetId="13" hidden="1">{"PI_Data",#N/A,TRUE,"P&amp;I Data"}</definedName>
    <definedName name="wrn.PI_Report." localSheetId="15" hidden="1">{"PI_Data",#N/A,TRUE,"P&amp;I Data"}</definedName>
    <definedName name="wrn.PI_Report." localSheetId="16" hidden="1">{"PI_Data",#N/A,TRUE,"P&amp;I Data"}</definedName>
    <definedName name="wrn.PI_Report." localSheetId="17" hidden="1">{"PI_Data",#N/A,TRUE,"P&amp;I Data"}</definedName>
    <definedName name="wrn.PI_Report." localSheetId="18" hidden="1">{"PI_Data",#N/A,TRUE,"P&amp;I Data"}</definedName>
    <definedName name="wrn.PI_Report." hidden="1">{"PI_Data",#N/A,TRUE,"P&amp;I Data"}</definedName>
    <definedName name="wrn.Print._.1_8." localSheetId="2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29"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29"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out." localSheetId="19" hidden="1">{#N/A,#N/A,FALSE,"Transmission Revenue Allocation";"Marginal Cost Revenues",#N/A,FALSE,"MC Revenues- 01 sales, 96 MC's";#N/A,#N/A,FALSE,"1996 marginal costs -ECAC Adopt"}</definedName>
    <definedName name="wrn.printout." localSheetId="20" hidden="1">{#N/A,#N/A,FALSE,"Transmission Revenue Allocation";"Marginal Cost Revenues",#N/A,FALSE,"MC Revenues- 01 sales, 96 MC's";#N/A,#N/A,FALSE,"1996 marginal costs -ECAC Adopt"}</definedName>
    <definedName name="wrn.printout." localSheetId="21" hidden="1">{#N/A,#N/A,FALSE,"Transmission Revenue Allocation";"Marginal Cost Revenues",#N/A,FALSE,"MC Revenues- 01 sales, 96 MC's";#N/A,#N/A,FALSE,"1996 marginal costs -ECAC Adopt"}</definedName>
    <definedName name="wrn.printout." localSheetId="22" hidden="1">{#N/A,#N/A,FALSE,"Transmission Revenue Allocation";"Marginal Cost Revenues",#N/A,FALSE,"MC Revenues- 01 sales, 96 MC's";#N/A,#N/A,FALSE,"1996 marginal costs -ECAC Adopt"}</definedName>
    <definedName name="wrn.printout." localSheetId="23" hidden="1">{#N/A,#N/A,FALSE,"Transmission Revenue Allocation";"Marginal Cost Revenues",#N/A,FALSE,"MC Revenues- 01 sales, 96 MC's";#N/A,#N/A,FALSE,"1996 marginal costs -ECAC Adopt"}</definedName>
    <definedName name="wrn.printout." localSheetId="24" hidden="1">{#N/A,#N/A,FALSE,"Transmission Revenue Allocation";"Marginal Cost Revenues",#N/A,FALSE,"MC Revenues- 01 sales, 96 MC's";#N/A,#N/A,FALSE,"1996 marginal costs -ECAC Adopt"}</definedName>
    <definedName name="wrn.printout." localSheetId="25" hidden="1">{#N/A,#N/A,FALSE,"Transmission Revenue Allocation";"Marginal Cost Revenues",#N/A,FALSE,"MC Revenues- 01 sales, 96 MC's";#N/A,#N/A,FALSE,"1996 marginal costs -ECAC Adopt"}</definedName>
    <definedName name="wrn.printout." localSheetId="26" hidden="1">{#N/A,#N/A,FALSE,"Transmission Revenue Allocation";"Marginal Cost Revenues",#N/A,FALSE,"MC Revenues- 01 sales, 96 MC's";#N/A,#N/A,FALSE,"1996 marginal costs -ECAC Adopt"}</definedName>
    <definedName name="wrn.printout." localSheetId="27" hidden="1">{#N/A,#N/A,FALSE,"Transmission Revenue Allocation";"Marginal Cost Revenues",#N/A,FALSE,"MC Revenues- 01 sales, 96 MC's";#N/A,#N/A,FALSE,"1996 marginal costs -ECAC Adopt"}</definedName>
    <definedName name="wrn.printout." localSheetId="29" hidden="1">{#N/A,#N/A,FALSE,"Transmission Revenue Allocation";"Marginal Cost Revenues",#N/A,FALSE,"MC Revenues- 01 sales, 96 MC's";#N/A,#N/A,FALSE,"1996 marginal costs -ECAC Adopt"}</definedName>
    <definedName name="wrn.printout." localSheetId="30" hidden="1">{#N/A,#N/A,FALSE,"Transmission Revenue Allocation";"Marginal Cost Revenues",#N/A,FALSE,"MC Revenues- 01 sales, 96 MC's";#N/A,#N/A,FALSE,"1996 marginal costs -ECAC Adopt"}</definedName>
    <definedName name="wrn.printout." localSheetId="33" hidden="1">{#N/A,#N/A,FALSE,"Transmission Revenue Allocation";"Marginal Cost Revenues",#N/A,FALSE,"MC Revenues- 01 sales, 96 MC's";#N/A,#N/A,FALSE,"1996 marginal costs -ECAC Adopt"}</definedName>
    <definedName name="wrn.printout." localSheetId="34" hidden="1">{#N/A,#N/A,FALSE,"Transmission Revenue Allocation";"Marginal Cost Revenues",#N/A,FALSE,"MC Revenues- 01 sales, 96 MC's";#N/A,#N/A,FALSE,"1996 marginal costs -ECAC Adopt"}</definedName>
    <definedName name="wrn.printout." localSheetId="35" hidden="1">{#N/A,#N/A,FALSE,"Transmission Revenue Allocation";"Marginal Cost Revenues",#N/A,FALSE,"MC Revenues- 01 sales, 96 MC's";#N/A,#N/A,FALSE,"1996 marginal costs -ECAC Adopt"}</definedName>
    <definedName name="wrn.printout." localSheetId="36" hidden="1">{#N/A,#N/A,FALSE,"Transmission Revenue Allocation";"Marginal Cost Revenues",#N/A,FALSE,"MC Revenues- 01 sales, 96 MC's";#N/A,#N/A,FALSE,"1996 marginal costs -ECAC Adopt"}</definedName>
    <definedName name="wrn.printout." localSheetId="37" hidden="1">{#N/A,#N/A,FALSE,"Transmission Revenue Allocation";"Marginal Cost Revenues",#N/A,FALSE,"MC Revenues- 01 sales, 96 MC's";#N/A,#N/A,FALSE,"1996 marginal costs -ECAC Adopt"}</definedName>
    <definedName name="wrn.printout." localSheetId="38" hidden="1">{#N/A,#N/A,FALSE,"Transmission Revenue Allocation";"Marginal Cost Revenues",#N/A,FALSE,"MC Revenues- 01 sales, 96 MC's";#N/A,#N/A,FALSE,"1996 marginal costs -ECAC Adopt"}</definedName>
    <definedName name="wrn.printout." localSheetId="39" hidden="1">{#N/A,#N/A,FALSE,"Transmission Revenue Allocation";"Marginal Cost Revenues",#N/A,FALSE,"MC Revenues- 01 sales, 96 MC's";#N/A,#N/A,FALSE,"1996 marginal costs -ECAC Adopt"}</definedName>
    <definedName name="wrn.printout." localSheetId="40" hidden="1">{#N/A,#N/A,FALSE,"Transmission Revenue Allocation";"Marginal Cost Revenues",#N/A,FALSE,"MC Revenues- 01 sales, 96 MC's";#N/A,#N/A,FALSE,"1996 marginal costs -ECAC Adopt"}</definedName>
    <definedName name="wrn.printout." localSheetId="41" hidden="1">{#N/A,#N/A,FALSE,"Transmission Revenue Allocation";"Marginal Cost Revenues",#N/A,FALSE,"MC Revenues- 01 sales, 96 MC's";#N/A,#N/A,FALSE,"1996 marginal costs -ECAC Adopt"}</definedName>
    <definedName name="wrn.printout." localSheetId="42" hidden="1">{#N/A,#N/A,FALSE,"Transmission Revenue Allocation";"Marginal Cost Revenues",#N/A,FALSE,"MC Revenues- 01 sales, 96 MC's";#N/A,#N/A,FALSE,"1996 marginal costs -ECAC Adopt"}</definedName>
    <definedName name="wrn.printout." localSheetId="15" hidden="1">{#N/A,#N/A,FALSE,"Transmission Revenue Allocation";"Marginal Cost Revenues",#N/A,FALSE,"MC Revenues- 01 sales, 96 MC's";#N/A,#N/A,FALSE,"1996 marginal costs -ECAC Adopt"}</definedName>
    <definedName name="wrn.printout." localSheetId="16" hidden="1">{#N/A,#N/A,FALSE,"Transmission Revenue Allocation";"Marginal Cost Revenues",#N/A,FALSE,"MC Revenues- 01 sales, 96 MC's";#N/A,#N/A,FALSE,"1996 marginal costs -ECAC Adopt"}</definedName>
    <definedName name="wrn.printout." localSheetId="17" hidden="1">{#N/A,#N/A,FALSE,"Transmission Revenue Allocation";"Marginal Cost Revenues",#N/A,FALSE,"MC Revenues- 01 sales, 96 MC's";#N/A,#N/A,FALSE,"1996 marginal costs -ECAC Adopt"}</definedName>
    <definedName name="wrn.printout." localSheetId="18" hidden="1">{#N/A,#N/A,FALSE,"Transmission Revenue Allocation";"Marginal Cost Revenues",#N/A,FALSE,"MC Revenues- 01 sales, 96 MC's";#N/A,#N/A,FALSE,"1996 marginal costs -ECAC Adopt"}</definedName>
    <definedName name="wrn.printout." hidden="1">{#N/A,#N/A,FALSE,"Transmission Revenue Allocation";"Marginal Cost Revenues",#N/A,FALSE,"MC Revenues- 01 sales, 96 MC's";#N/A,#N/A,FALSE,"1996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es." localSheetId="29" hidden="1">{#N/A,#N/A,FALSE,"E-1, EM, ES";#N/A,#N/A,FALSE,"ESR, ET";#N/A,#N/A,FALSE,"E-7, E-A7";#N/A,#N/A,FALSE,"E-8";#N/A,#N/A,FALSE,"E-9 A, B, C, D";#N/A,#N/A,FALSE,"EL-1, EML";#N/A,#N/A,FALSE,"ESL, ESRL";#N/A,#N/A,FALSE,"ETL, EL-7";#N/A,#N/A,FALSE,"EL-A7, EL-8"}</definedName>
    <definedName name="wrn.Res." localSheetId="17" hidden="1">{#N/A,#N/A,FALSE,"E-1, EM, ES";#N/A,#N/A,FALSE,"ESR, ET";#N/A,#N/A,FALSE,"E-7, E-A7";#N/A,#N/A,FALSE,"E-8";#N/A,#N/A,FALSE,"E-9 A, B, C, D";#N/A,#N/A,FALSE,"EL-1, EML";#N/A,#N/A,FALSE,"ESL, ESRL";#N/A,#N/A,FALSE,"ETL, EL-7";#N/A,#N/A,FALSE,"EL-A7, EL-8"}</definedName>
    <definedName name="wrn.Res." hidden="1">{#N/A,#N/A,FALSE,"E-1, EM, ES";#N/A,#N/A,FALSE,"ESR, ET";#N/A,#N/A,FALSE,"E-7, E-A7";#N/A,#N/A,FALSE,"E-8";#N/A,#N/A,FALSE,"E-9 A, B, C, D";#N/A,#N/A,FALSE,"EL-1, EML";#N/A,#N/A,FALSE,"ESL, ESRL";#N/A,#N/A,FALSE,"ETL, EL-7";#N/A,#N/A,FALSE,"EL-A7, EL-8"}</definedName>
    <definedName name="wrn.Rev._.Alloc." localSheetId="28" hidden="1">{#N/A,#N/A,FALSE,"RRQ inputs ";#N/A,#N/A,FALSE,"FERC Rev @ PR";#N/A,#N/A,FALSE,"Distribution Revenue Allocation";#N/A,#N/A,FALSE,"Nonallocated Revenues";#N/A,#N/A,FALSE,"MC Revenues-03 sales, 96 MC's";#N/A,#N/A,FALSE,"FTA"}</definedName>
    <definedName name="wrn.Rev._.Alloc." localSheetId="29"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schedules." localSheetId="28" hidden="1">{#N/A,#N/A,FALSE,"ND Rev at Pres Rates";#N/A,#N/A,FALSE,"Res - Unadj";#N/A,#N/A,FALSE,"Small L&amp;P";#N/A,#N/A,FALSE,"Medium L&amp;P";#N/A,#N/A,FALSE,"E-19";#N/A,#N/A,FALSE,"E-20";#N/A,#N/A,FALSE,"A-RTP";#N/A,#N/A,FALSE,"Strtlts &amp; Standby";#N/A,#N/A,FALSE,"AG";#N/A,#N/A,FALSE,"2001mixeduse"}</definedName>
    <definedName name="wrn.schedules." localSheetId="29" hidden="1">{#N/A,#N/A,FALSE,"Res - Unadj";#N/A,#N/A,FALSE,"Small L&amp;P";#N/A,#N/A,FALSE,"Medium L&amp;P";#N/A,#N/A,FALSE,"E-19";#N/A,#N/A,FALSE,"E-20";#N/A,#N/A,FALSE,"A-RTP";#N/A,#N/A,FALSE,"Strtlts &amp; Standby";#N/A,#N/A,FALSE,"AG";#N/A,#N/A,FALSE,"2001mixeduse"}</definedName>
    <definedName name="wrn.schedules." localSheetId="17" hidden="1">{#N/A,#N/A,FALSE,"Res - Unadj";#N/A,#N/A,FALSE,"Small L&amp;P";#N/A,#N/A,FALSE,"Medium L&amp;P";#N/A,#N/A,FALSE,"E-19";#N/A,#N/A,FALSE,"E-20";#N/A,#N/A,FALSE,"A-RTP";#N/A,#N/A,FALSE,"Strtlts &amp; Standby";#N/A,#N/A,FALSE,"AG";#N/A,#N/A,FALSE,"2001mixeduse"}</definedName>
    <definedName name="wrn.schedules." hidden="1">{#N/A,#N/A,FALSE,"Res - Unadj";#N/A,#N/A,FALSE,"Small L&amp;P";#N/A,#N/A,FALSE,"Medium L&amp;P";#N/A,#N/A,FALSE,"E-19";#N/A,#N/A,FALSE,"E-20";#N/A,#N/A,FALSE,"A-RTP";#N/A,#N/A,FALSE,"Strtlts &amp; Standby";#N/A,#N/A,FALSE,"AG";#N/A,#N/A,FALSE,"2001mixeduse"}</definedName>
    <definedName name="wrn.sum1." localSheetId="29" hidden="1">{"Summary","1",FALSE,"Summary"}</definedName>
    <definedName name="wrn.sum1." hidden="1">{"Summary","1",FALSE,"Summary"}</definedName>
    <definedName name="x" localSheetId="29" hidden="1">{#N/A,#N/A,FALSE,"CTC Summary - EOY";#N/A,#N/A,FALSE,"CTC Summary - Wtavg"}</definedName>
    <definedName name="x" hidden="1">{#N/A,#N/A,FALSE,"CTC Summary - EOY";#N/A,#N/A,FALSE,"CTC Summary - Wtavg"}</definedName>
    <definedName name="xb" localSheetId="2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c" localSheetId="2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c"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d" localSheetId="29"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d"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localSheetId="29"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f" localSheetId="29"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f"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g" localSheetId="29"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g"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h" localSheetId="2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h"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i" localSheetId="29"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j" localSheetId="29"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j"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k" localSheetId="29" hidden="1">{#N/A,#N/A,FALSE,"Res - Unadj";#N/A,#N/A,FALSE,"Small L&amp;P";#N/A,#N/A,FALSE,"Medium L&amp;P";#N/A,#N/A,FALSE,"E-19";#N/A,#N/A,FALSE,"E-20";#N/A,#N/A,FALSE,"A-RTP";#N/A,#N/A,FALSE,"Strtlts &amp; Standby";#N/A,#N/A,FALSE,"AG";#N/A,#N/A,FALSE,"2001mixeduse"}</definedName>
    <definedName name="xk" hidden="1">{#N/A,#N/A,FALSE,"Res - Unadj";#N/A,#N/A,FALSE,"Small L&amp;P";#N/A,#N/A,FALSE,"Medium L&amp;P";#N/A,#N/A,FALSE,"E-19";#N/A,#N/A,FALSE,"E-20";#N/A,#N/A,FALSE,"A-RTP";#N/A,#N/A,FALSE,"Strtlts &amp; Standby";#N/A,#N/A,FALSE,"AG";#N/A,#N/A,FALSE,"2001mixeduse"}</definedName>
    <definedName name="xl" localSheetId="29" hidden="1">{"Summary","1",FALSE,"Summary"}</definedName>
    <definedName name="xl" hidden="1">{"Summary","1",FALSE,"Summary"}</definedName>
    <definedName name="xm" localSheetId="2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m"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xx" localSheetId="2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zzzzzzzzzzzzzzzzzzzzzzzzzzzzz" localSheetId="29" hidden="1">{"PI_Data",#N/A,TRUE,"P&amp;I Data"}</definedName>
    <definedName name="zzzzzzzzzzzzzzzzzzzzzzzzzzzzz" hidden="1">{"PI_Data",#N/A,TRUE,"P&amp;I Data"}</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0" i="47" l="1"/>
  <c r="J160" i="107"/>
  <c r="J160" i="5"/>
  <c r="J160" i="108"/>
  <c r="J160" i="68"/>
  <c r="J160" i="109"/>
  <c r="J160" i="69"/>
  <c r="J160" i="110"/>
  <c r="J160" i="70"/>
  <c r="J160" i="71"/>
  <c r="J160" i="72"/>
  <c r="J160" i="73"/>
  <c r="J160" i="102"/>
  <c r="J160" i="75"/>
  <c r="J160" i="76"/>
  <c r="J160" i="77"/>
  <c r="J160" i="78"/>
  <c r="J160" i="79"/>
  <c r="J160" i="80"/>
  <c r="J160" i="81"/>
  <c r="J160" i="82"/>
  <c r="J160" i="111"/>
  <c r="J160" i="83"/>
  <c r="J160" i="103"/>
  <c r="J160" i="104"/>
  <c r="J160" i="84"/>
  <c r="J160" i="85"/>
  <c r="J160" i="113"/>
  <c r="J160" i="86"/>
  <c r="J160" i="112"/>
  <c r="J160" i="87"/>
  <c r="J160" i="88"/>
  <c r="J160" i="89"/>
  <c r="J160" i="90"/>
  <c r="J160" i="91"/>
  <c r="J160" i="92"/>
  <c r="J160" i="93"/>
  <c r="J160" i="94"/>
  <c r="J160" i="105"/>
  <c r="J160" i="106"/>
  <c r="K144" i="107"/>
  <c r="K144" i="68"/>
  <c r="K144" i="109"/>
  <c r="K144" i="69"/>
  <c r="K144" i="110"/>
  <c r="K144" i="70"/>
  <c r="K144" i="71"/>
  <c r="K144" i="72"/>
  <c r="K144" i="73"/>
  <c r="K144" i="102"/>
  <c r="K144" i="75"/>
  <c r="K144" i="76"/>
  <c r="K144" i="77"/>
  <c r="K144" i="78"/>
  <c r="K144" i="79"/>
  <c r="K144" i="80"/>
  <c r="K144" i="81"/>
  <c r="K144" i="82"/>
  <c r="K144" i="111"/>
  <c r="K144" i="83"/>
  <c r="K144" i="103"/>
  <c r="K144" i="104"/>
  <c r="K144" i="84"/>
  <c r="K144" i="85"/>
  <c r="K144" i="113"/>
  <c r="K144" i="86"/>
  <c r="K144" i="112"/>
  <c r="K144" i="87"/>
  <c r="K144" i="88"/>
  <c r="K144" i="89"/>
  <c r="K144" i="90"/>
  <c r="K144" i="91"/>
  <c r="K144" i="92"/>
  <c r="K144" i="93"/>
  <c r="K144" i="94"/>
  <c r="K144" i="105"/>
  <c r="K144" i="106"/>
  <c r="F51" i="106"/>
  <c r="E51" i="106"/>
  <c r="D51" i="106"/>
  <c r="H49" i="106"/>
  <c r="G49" i="106"/>
  <c r="H47" i="106"/>
  <c r="I47" i="106" s="1"/>
  <c r="G47" i="106"/>
  <c r="G51" i="106" s="1"/>
  <c r="I45" i="106"/>
  <c r="H45" i="106"/>
  <c r="G45" i="106"/>
  <c r="L42" i="106"/>
  <c r="F40" i="106"/>
  <c r="E40" i="106"/>
  <c r="D40" i="106"/>
  <c r="H38" i="106"/>
  <c r="G38" i="106"/>
  <c r="I38" i="106" s="1"/>
  <c r="H36" i="106"/>
  <c r="G36" i="106"/>
  <c r="I36" i="106" s="1"/>
  <c r="I34" i="106"/>
  <c r="H34" i="106"/>
  <c r="G34" i="106"/>
  <c r="G40" i="106" s="1"/>
  <c r="F32" i="106"/>
  <c r="E32" i="106"/>
  <c r="D32" i="106"/>
  <c r="H30" i="106"/>
  <c r="I30" i="106" s="1"/>
  <c r="G30" i="106"/>
  <c r="H28" i="106"/>
  <c r="I28" i="106" s="1"/>
  <c r="I32" i="106" s="1"/>
  <c r="G28" i="106"/>
  <c r="G32" i="106" s="1"/>
  <c r="H26" i="106"/>
  <c r="I26" i="106" s="1"/>
  <c r="G26" i="106"/>
  <c r="F24" i="106"/>
  <c r="F42" i="106" s="1"/>
  <c r="E24" i="106"/>
  <c r="E42" i="106" s="1"/>
  <c r="D24" i="106"/>
  <c r="D42" i="106" s="1"/>
  <c r="H22" i="106"/>
  <c r="G22" i="106"/>
  <c r="I22" i="106" s="1"/>
  <c r="I20" i="106"/>
  <c r="G20" i="106"/>
  <c r="G18" i="106"/>
  <c r="I18" i="106" s="1"/>
  <c r="H16" i="106"/>
  <c r="I16" i="106" s="1"/>
  <c r="G16" i="106"/>
  <c r="N14" i="106"/>
  <c r="H14" i="106"/>
  <c r="I14" i="106" s="1"/>
  <c r="G14" i="106"/>
  <c r="A14" i="106"/>
  <c r="A16" i="106" s="1"/>
  <c r="N12" i="106"/>
  <c r="I12" i="106"/>
  <c r="G12" i="106"/>
  <c r="N10" i="106"/>
  <c r="G9" i="106"/>
  <c r="F9" i="106"/>
  <c r="H47" i="105"/>
  <c r="L45" i="105"/>
  <c r="L43" i="105"/>
  <c r="L41" i="105"/>
  <c r="L47" i="105" s="1"/>
  <c r="H39" i="105"/>
  <c r="L37" i="105"/>
  <c r="L35" i="105"/>
  <c r="L33" i="105"/>
  <c r="H31" i="105"/>
  <c r="L29" i="105"/>
  <c r="H29" i="105"/>
  <c r="L27" i="105"/>
  <c r="H27" i="105"/>
  <c r="L25" i="105"/>
  <c r="H25" i="105"/>
  <c r="H23" i="105"/>
  <c r="L21" i="105"/>
  <c r="L19" i="105"/>
  <c r="L17" i="105"/>
  <c r="L15" i="105"/>
  <c r="A15" i="105"/>
  <c r="L13" i="105"/>
  <c r="H13" i="105"/>
  <c r="A13" i="105"/>
  <c r="N13" i="105" s="1"/>
  <c r="R12" i="105"/>
  <c r="S12" i="105" s="1"/>
  <c r="S11" i="105"/>
  <c r="R11" i="105"/>
  <c r="N11" i="105"/>
  <c r="L11" i="105"/>
  <c r="H11" i="105"/>
  <c r="N9" i="105"/>
  <c r="C12" i="94"/>
  <c r="C6" i="93" s="1"/>
  <c r="C11" i="93" s="1"/>
  <c r="C10" i="94"/>
  <c r="A9" i="94"/>
  <c r="D10" i="94" s="1"/>
  <c r="F8" i="94"/>
  <c r="E1" i="94"/>
  <c r="D12" i="93"/>
  <c r="A12" i="93"/>
  <c r="F12" i="93" s="1"/>
  <c r="A11" i="93"/>
  <c r="F11" i="93" s="1"/>
  <c r="F10" i="93"/>
  <c r="D7" i="93"/>
  <c r="A7" i="93"/>
  <c r="F7" i="93" s="1"/>
  <c r="F6" i="93"/>
  <c r="A6" i="93"/>
  <c r="F5" i="93"/>
  <c r="F3" i="93"/>
  <c r="E1" i="93"/>
  <c r="F56" i="92"/>
  <c r="A37" i="92"/>
  <c r="A38" i="92" s="1"/>
  <c r="I36" i="92"/>
  <c r="G19" i="92"/>
  <c r="A12" i="92"/>
  <c r="A13" i="92" s="1"/>
  <c r="I11" i="92"/>
  <c r="I6" i="92"/>
  <c r="I5" i="92"/>
  <c r="H1" i="92"/>
  <c r="E23" i="91"/>
  <c r="A23" i="91"/>
  <c r="G23" i="91" s="1"/>
  <c r="E22" i="91"/>
  <c r="A22" i="91"/>
  <c r="G22" i="91" s="1"/>
  <c r="G21" i="91"/>
  <c r="E21" i="91"/>
  <c r="G18" i="91"/>
  <c r="A18" i="91"/>
  <c r="G17" i="91"/>
  <c r="A13" i="91"/>
  <c r="G13" i="91" s="1"/>
  <c r="G12" i="91"/>
  <c r="G8" i="91"/>
  <c r="A8" i="91"/>
  <c r="G7" i="91"/>
  <c r="G4" i="91"/>
  <c r="C63" i="90"/>
  <c r="C13" i="90"/>
  <c r="C15" i="90" s="1"/>
  <c r="C10" i="90"/>
  <c r="A7" i="90"/>
  <c r="A8" i="90" s="1"/>
  <c r="F6" i="90"/>
  <c r="F4" i="90"/>
  <c r="E59" i="89"/>
  <c r="D58" i="89"/>
  <c r="G57" i="89"/>
  <c r="D57" i="89"/>
  <c r="G56" i="89"/>
  <c r="G55" i="89" s="1"/>
  <c r="G54" i="89" s="1"/>
  <c r="D56" i="89"/>
  <c r="D55" i="89"/>
  <c r="D54" i="89"/>
  <c r="D53" i="89"/>
  <c r="D52" i="89"/>
  <c r="D51" i="89"/>
  <c r="D50" i="89"/>
  <c r="D49" i="89"/>
  <c r="D48" i="89"/>
  <c r="A48" i="89"/>
  <c r="A49" i="89" s="1"/>
  <c r="K47" i="89"/>
  <c r="D47" i="89"/>
  <c r="A47" i="89"/>
  <c r="K46" i="89"/>
  <c r="H46" i="89"/>
  <c r="E46" i="89"/>
  <c r="K45" i="89"/>
  <c r="A32" i="89"/>
  <c r="K31" i="89"/>
  <c r="K29" i="89"/>
  <c r="D22" i="89"/>
  <c r="E15" i="89"/>
  <c r="E14" i="89"/>
  <c r="D14" i="89"/>
  <c r="A14" i="89"/>
  <c r="K13" i="89"/>
  <c r="E13" i="89"/>
  <c r="D13" i="89"/>
  <c r="K12" i="89"/>
  <c r="A8" i="89"/>
  <c r="A9" i="89" s="1"/>
  <c r="K7" i="89"/>
  <c r="K6" i="89"/>
  <c r="C15" i="88"/>
  <c r="C16" i="88" s="1"/>
  <c r="A15" i="88"/>
  <c r="A16" i="88" s="1"/>
  <c r="F16" i="88" s="1"/>
  <c r="F14" i="88"/>
  <c r="A14" i="88"/>
  <c r="F13" i="88"/>
  <c r="F12" i="88"/>
  <c r="C9" i="88"/>
  <c r="C8" i="88"/>
  <c r="A7" i="88"/>
  <c r="F7" i="88" s="1"/>
  <c r="F6" i="88"/>
  <c r="F5" i="88"/>
  <c r="D38" i="87"/>
  <c r="D37" i="87"/>
  <c r="A37" i="87"/>
  <c r="G36" i="87"/>
  <c r="G35" i="87"/>
  <c r="D32" i="87"/>
  <c r="A31" i="87"/>
  <c r="G30" i="87"/>
  <c r="A30" i="87"/>
  <c r="D31" i="87" s="1"/>
  <c r="G29" i="87"/>
  <c r="A29" i="87"/>
  <c r="G28" i="87"/>
  <c r="D28" i="87"/>
  <c r="G27" i="87"/>
  <c r="G24" i="87"/>
  <c r="G23" i="87"/>
  <c r="F23" i="87"/>
  <c r="E23" i="87"/>
  <c r="F22" i="87"/>
  <c r="E22" i="87"/>
  <c r="F21" i="87"/>
  <c r="E21" i="87"/>
  <c r="E20" i="87"/>
  <c r="G19" i="87"/>
  <c r="F19" i="87"/>
  <c r="E19" i="87"/>
  <c r="G18" i="87"/>
  <c r="F18" i="87"/>
  <c r="E18" i="87"/>
  <c r="A18" i="87"/>
  <c r="A19" i="87" s="1"/>
  <c r="A20" i="87" s="1"/>
  <c r="A21" i="87" s="1"/>
  <c r="G17" i="87"/>
  <c r="D17" i="87"/>
  <c r="C17" i="87"/>
  <c r="C10" i="87"/>
  <c r="A8" i="87"/>
  <c r="G6" i="87"/>
  <c r="G5" i="87"/>
  <c r="H61" i="86"/>
  <c r="H60" i="86"/>
  <c r="H59" i="86"/>
  <c r="H58" i="86"/>
  <c r="H57" i="86"/>
  <c r="H56" i="86"/>
  <c r="H55" i="86"/>
  <c r="H54" i="86"/>
  <c r="H53" i="86"/>
  <c r="H52" i="86"/>
  <c r="H51" i="86"/>
  <c r="H50" i="86"/>
  <c r="H49" i="86"/>
  <c r="H48" i="86"/>
  <c r="H47" i="86"/>
  <c r="H46" i="86"/>
  <c r="K45" i="86"/>
  <c r="H45" i="86"/>
  <c r="K44" i="86"/>
  <c r="I44" i="86"/>
  <c r="G44" i="86"/>
  <c r="F44" i="86"/>
  <c r="H44" i="86" s="1"/>
  <c r="E44" i="86"/>
  <c r="A44" i="86"/>
  <c r="A45" i="86" s="1"/>
  <c r="A46" i="86" s="1"/>
  <c r="A47" i="86" s="1"/>
  <c r="K43" i="86"/>
  <c r="H41" i="86"/>
  <c r="H40" i="86"/>
  <c r="H39" i="86"/>
  <c r="H38" i="86"/>
  <c r="H37" i="86"/>
  <c r="I36" i="86"/>
  <c r="G36" i="86"/>
  <c r="H36" i="86" s="1"/>
  <c r="F36" i="86"/>
  <c r="E36" i="86"/>
  <c r="A36" i="86"/>
  <c r="K36" i="86" s="1"/>
  <c r="K35" i="86"/>
  <c r="H33" i="86"/>
  <c r="H32" i="86"/>
  <c r="H31" i="86"/>
  <c r="I30" i="86"/>
  <c r="H30" i="86"/>
  <c r="G30" i="86"/>
  <c r="F30" i="86"/>
  <c r="E30" i="86"/>
  <c r="A30" i="86"/>
  <c r="A31" i="86" s="1"/>
  <c r="A32" i="86" s="1"/>
  <c r="K29" i="86"/>
  <c r="H27" i="86"/>
  <c r="H26" i="86"/>
  <c r="H25" i="86"/>
  <c r="H24" i="86"/>
  <c r="H23" i="86"/>
  <c r="H22" i="86"/>
  <c r="H21" i="86"/>
  <c r="K20" i="86"/>
  <c r="I20" i="86"/>
  <c r="G20" i="86"/>
  <c r="G10" i="86" s="1"/>
  <c r="E45" i="92" s="1"/>
  <c r="F20" i="86"/>
  <c r="H20" i="86" s="1"/>
  <c r="E20" i="86"/>
  <c r="A20" i="86"/>
  <c r="A21" i="86" s="1"/>
  <c r="A22" i="86" s="1"/>
  <c r="K19" i="86"/>
  <c r="H17" i="86"/>
  <c r="H16" i="86"/>
  <c r="H15" i="86"/>
  <c r="A15" i="86"/>
  <c r="K15" i="86" s="1"/>
  <c r="K14" i="86"/>
  <c r="I14" i="86"/>
  <c r="H14" i="86"/>
  <c r="H10" i="86" s="1"/>
  <c r="G14" i="86"/>
  <c r="F14" i="86"/>
  <c r="F10" i="86" s="1"/>
  <c r="D45" i="92" s="1"/>
  <c r="E14" i="86"/>
  <c r="A14" i="86"/>
  <c r="K13" i="86"/>
  <c r="K10" i="86"/>
  <c r="K9" i="86"/>
  <c r="M65" i="85"/>
  <c r="L65" i="85"/>
  <c r="K65" i="85"/>
  <c r="J65" i="85"/>
  <c r="I65" i="85"/>
  <c r="H65" i="85"/>
  <c r="G65" i="85"/>
  <c r="F65" i="85"/>
  <c r="E64" i="85"/>
  <c r="E63" i="85"/>
  <c r="E62" i="85"/>
  <c r="E61" i="85"/>
  <c r="E60" i="85"/>
  <c r="E59" i="85"/>
  <c r="E58" i="85"/>
  <c r="E57" i="85"/>
  <c r="E56" i="85"/>
  <c r="E55" i="85"/>
  <c r="E54" i="85"/>
  <c r="E53" i="85"/>
  <c r="E52" i="85"/>
  <c r="E51" i="85"/>
  <c r="E65" i="85" s="1"/>
  <c r="A51" i="85"/>
  <c r="A50" i="85"/>
  <c r="N50" i="85" s="1"/>
  <c r="N49" i="85"/>
  <c r="A49" i="85"/>
  <c r="N48" i="85"/>
  <c r="J46" i="85"/>
  <c r="K45" i="85"/>
  <c r="J45" i="85"/>
  <c r="J44" i="85"/>
  <c r="J42" i="85"/>
  <c r="J41" i="85"/>
  <c r="J40" i="85"/>
  <c r="F40" i="85"/>
  <c r="J38" i="85"/>
  <c r="J37" i="85"/>
  <c r="J36" i="85"/>
  <c r="J34" i="85"/>
  <c r="J33" i="85"/>
  <c r="J32" i="85"/>
  <c r="K31" i="85"/>
  <c r="J31" i="85"/>
  <c r="J30" i="85"/>
  <c r="J29" i="85"/>
  <c r="K29" i="85" s="1"/>
  <c r="J28" i="85"/>
  <c r="A28" i="85"/>
  <c r="A29" i="85" s="1"/>
  <c r="J27" i="85"/>
  <c r="A27" i="85"/>
  <c r="N27" i="85" s="1"/>
  <c r="N26" i="85"/>
  <c r="A26" i="85"/>
  <c r="N25" i="85"/>
  <c r="J23" i="85"/>
  <c r="G23" i="85"/>
  <c r="E23" i="85"/>
  <c r="I22" i="85"/>
  <c r="K22" i="85" s="1"/>
  <c r="K21" i="85"/>
  <c r="I21" i="85"/>
  <c r="I20" i="85"/>
  <c r="K20" i="85" s="1"/>
  <c r="E20" i="85"/>
  <c r="E19" i="85"/>
  <c r="I19" i="85" s="1"/>
  <c r="K19" i="85" s="1"/>
  <c r="I18" i="85"/>
  <c r="K18" i="85" s="1"/>
  <c r="I17" i="85"/>
  <c r="K17" i="85" s="1"/>
  <c r="I16" i="85"/>
  <c r="K16" i="85" s="1"/>
  <c r="I15" i="85"/>
  <c r="K15" i="85" s="1"/>
  <c r="I14" i="85"/>
  <c r="K14" i="85" s="1"/>
  <c r="I13" i="85"/>
  <c r="K13" i="85" s="1"/>
  <c r="F28" i="85" s="1"/>
  <c r="I12" i="85"/>
  <c r="K12" i="85" s="1"/>
  <c r="I11" i="85"/>
  <c r="K11" i="85" s="1"/>
  <c r="I10" i="85"/>
  <c r="K10" i="85" s="1"/>
  <c r="I9" i="85"/>
  <c r="K9" i="85" s="1"/>
  <c r="A7" i="85"/>
  <c r="A6" i="85"/>
  <c r="N6" i="85" s="1"/>
  <c r="N5" i="85"/>
  <c r="K37" i="84"/>
  <c r="J37" i="84"/>
  <c r="L37" i="84" s="1"/>
  <c r="I37" i="84"/>
  <c r="F37" i="84"/>
  <c r="L36" i="84"/>
  <c r="K36" i="84"/>
  <c r="J36" i="84"/>
  <c r="I36" i="84"/>
  <c r="F36" i="84"/>
  <c r="L35" i="84"/>
  <c r="K35" i="84"/>
  <c r="J35" i="84"/>
  <c r="I35" i="84"/>
  <c r="F35" i="84"/>
  <c r="L34" i="84"/>
  <c r="K34" i="84"/>
  <c r="J34" i="84"/>
  <c r="I34" i="84"/>
  <c r="F34" i="84"/>
  <c r="B34" i="84"/>
  <c r="L33" i="84"/>
  <c r="K33" i="84"/>
  <c r="J33" i="84"/>
  <c r="I33" i="84"/>
  <c r="F33" i="84"/>
  <c r="K32" i="84"/>
  <c r="J32" i="84"/>
  <c r="L32" i="84" s="1"/>
  <c r="I32" i="84"/>
  <c r="F32" i="84"/>
  <c r="K31" i="84"/>
  <c r="J31" i="84"/>
  <c r="L31" i="84" s="1"/>
  <c r="I31" i="84"/>
  <c r="F31" i="84"/>
  <c r="K30" i="84"/>
  <c r="J30" i="84"/>
  <c r="L30" i="84" s="1"/>
  <c r="I30" i="84"/>
  <c r="F30" i="84"/>
  <c r="K29" i="84"/>
  <c r="J29" i="84"/>
  <c r="L29" i="84" s="1"/>
  <c r="I29" i="84"/>
  <c r="F29" i="84"/>
  <c r="B29" i="84"/>
  <c r="B30" i="84" s="1"/>
  <c r="B31" i="84" s="1"/>
  <c r="B32" i="84" s="1"/>
  <c r="K28" i="84"/>
  <c r="J28" i="84"/>
  <c r="L28" i="84" s="1"/>
  <c r="I28" i="84"/>
  <c r="F28" i="84"/>
  <c r="K27" i="84"/>
  <c r="J27" i="84"/>
  <c r="I27" i="84"/>
  <c r="F27" i="84"/>
  <c r="K26" i="84"/>
  <c r="L26" i="84" s="1"/>
  <c r="J26" i="84"/>
  <c r="I26" i="84"/>
  <c r="F26" i="84"/>
  <c r="K25" i="84"/>
  <c r="J25" i="84"/>
  <c r="L25" i="84" s="1"/>
  <c r="I25" i="84"/>
  <c r="F25" i="84"/>
  <c r="L24" i="84"/>
  <c r="K24" i="84"/>
  <c r="O24" i="84" s="1"/>
  <c r="J24" i="84"/>
  <c r="N24" i="84" s="1"/>
  <c r="P24" i="84" s="1"/>
  <c r="I24" i="84"/>
  <c r="F24" i="84"/>
  <c r="K23" i="84"/>
  <c r="J23" i="84"/>
  <c r="I23" i="84"/>
  <c r="F23" i="84"/>
  <c r="K22" i="84"/>
  <c r="J22" i="84"/>
  <c r="I22" i="84"/>
  <c r="F22" i="84"/>
  <c r="K21" i="84"/>
  <c r="J21" i="84"/>
  <c r="L21" i="84" s="1"/>
  <c r="I21" i="84"/>
  <c r="I10" i="84" s="1"/>
  <c r="F21" i="84"/>
  <c r="L20" i="84"/>
  <c r="K20" i="84"/>
  <c r="J20" i="84"/>
  <c r="I20" i="84"/>
  <c r="F20" i="84"/>
  <c r="L19" i="84"/>
  <c r="K19" i="84"/>
  <c r="J19" i="84"/>
  <c r="I19" i="84"/>
  <c r="F19" i="84"/>
  <c r="L18" i="84"/>
  <c r="K18" i="84"/>
  <c r="J18" i="84"/>
  <c r="I18" i="84"/>
  <c r="F18" i="84"/>
  <c r="K17" i="84"/>
  <c r="J17" i="84"/>
  <c r="L17" i="84" s="1"/>
  <c r="I17" i="84"/>
  <c r="F17" i="84"/>
  <c r="K16" i="84"/>
  <c r="J16" i="84"/>
  <c r="I16" i="84"/>
  <c r="F16" i="84"/>
  <c r="K15" i="84"/>
  <c r="L15" i="84" s="1"/>
  <c r="J15" i="84"/>
  <c r="I15" i="84"/>
  <c r="F15" i="84"/>
  <c r="K14" i="84"/>
  <c r="J14" i="84"/>
  <c r="L14" i="84" s="1"/>
  <c r="I14" i="84"/>
  <c r="F14" i="84"/>
  <c r="F10" i="84" s="1"/>
  <c r="K13" i="84"/>
  <c r="J13" i="84"/>
  <c r="L13" i="84" s="1"/>
  <c r="I13" i="84"/>
  <c r="F13" i="84"/>
  <c r="L12" i="84"/>
  <c r="K12" i="84"/>
  <c r="J12" i="84"/>
  <c r="I12" i="84"/>
  <c r="F12" i="84"/>
  <c r="Q11" i="84"/>
  <c r="K11" i="84"/>
  <c r="J11" i="84"/>
  <c r="I11" i="84"/>
  <c r="F11" i="84"/>
  <c r="A11" i="84"/>
  <c r="A12" i="84" s="1"/>
  <c r="Q10" i="84"/>
  <c r="H10" i="84"/>
  <c r="G10" i="84"/>
  <c r="E10" i="84"/>
  <c r="D10" i="84"/>
  <c r="BB128" i="104"/>
  <c r="AP128" i="104"/>
  <c r="BD128" i="104" s="1"/>
  <c r="AN128" i="104"/>
  <c r="AL128" i="104"/>
  <c r="AZ128" i="104" s="1"/>
  <c r="Z128" i="104"/>
  <c r="BB127" i="104"/>
  <c r="BB123" i="104" s="1"/>
  <c r="AP127" i="104"/>
  <c r="BD127" i="104" s="1"/>
  <c r="AN127" i="104"/>
  <c r="AL127" i="104"/>
  <c r="AZ127" i="104" s="1"/>
  <c r="Z127" i="104"/>
  <c r="BB126" i="104"/>
  <c r="AP126" i="104"/>
  <c r="BD126" i="104" s="1"/>
  <c r="AN126" i="104"/>
  <c r="AL126" i="104"/>
  <c r="AZ126" i="104" s="1"/>
  <c r="Z126" i="104"/>
  <c r="BB125" i="104"/>
  <c r="AP125" i="104"/>
  <c r="BD125" i="104" s="1"/>
  <c r="AN125" i="104"/>
  <c r="AL125" i="104"/>
  <c r="AZ125" i="104" s="1"/>
  <c r="Z125" i="104"/>
  <c r="BB124" i="104"/>
  <c r="AP124" i="104"/>
  <c r="BD124" i="104" s="1"/>
  <c r="AN124" i="104"/>
  <c r="AN123" i="104" s="1"/>
  <c r="AL124" i="104"/>
  <c r="AZ124" i="104" s="1"/>
  <c r="Z124" i="104"/>
  <c r="A124" i="104"/>
  <c r="A125" i="104" s="1"/>
  <c r="BJ123" i="104"/>
  <c r="AX123" i="104"/>
  <c r="AV123" i="104"/>
  <c r="AT123" i="104"/>
  <c r="AP123" i="104"/>
  <c r="AH123" i="104"/>
  <c r="AF123" i="104"/>
  <c r="AD123" i="104"/>
  <c r="Z123" i="104"/>
  <c r="X123" i="104"/>
  <c r="V123" i="104"/>
  <c r="T123" i="104"/>
  <c r="N123" i="104"/>
  <c r="L123" i="104"/>
  <c r="J123" i="104"/>
  <c r="H123" i="104"/>
  <c r="AP121" i="104"/>
  <c r="BD121" i="104" s="1"/>
  <c r="AN121" i="104"/>
  <c r="BB121" i="104" s="1"/>
  <c r="AL121" i="104"/>
  <c r="AZ121" i="104" s="1"/>
  <c r="BD120" i="104"/>
  <c r="AP120" i="104"/>
  <c r="AN120" i="104"/>
  <c r="BB120" i="104" s="1"/>
  <c r="AL120" i="104"/>
  <c r="T120" i="104"/>
  <c r="Z120" i="104" s="1"/>
  <c r="AP119" i="104"/>
  <c r="BD119" i="104" s="1"/>
  <c r="AN119" i="104"/>
  <c r="BB119" i="104" s="1"/>
  <c r="T119" i="104"/>
  <c r="AL119" i="104" s="1"/>
  <c r="AP118" i="104"/>
  <c r="AN118" i="104"/>
  <c r="BB118" i="104" s="1"/>
  <c r="AL118" i="104"/>
  <c r="AZ118" i="104" s="1"/>
  <c r="Z118" i="104"/>
  <c r="T118" i="104"/>
  <c r="AR117" i="104"/>
  <c r="AP117" i="104"/>
  <c r="BD117" i="104" s="1"/>
  <c r="AN117" i="104"/>
  <c r="BB117" i="104" s="1"/>
  <c r="AL117" i="104"/>
  <c r="AZ117" i="104" s="1"/>
  <c r="T117" i="104"/>
  <c r="Z117" i="104" s="1"/>
  <c r="A117" i="104"/>
  <c r="A118" i="104" s="1"/>
  <c r="AP116" i="104"/>
  <c r="BD116" i="104" s="1"/>
  <c r="AN116" i="104"/>
  <c r="T116" i="104"/>
  <c r="T115" i="104" s="1"/>
  <c r="A116" i="104"/>
  <c r="BJ116" i="104" s="1"/>
  <c r="BJ115" i="104"/>
  <c r="AX115" i="104"/>
  <c r="AV115" i="104"/>
  <c r="AT115" i="104"/>
  <c r="AH115" i="104"/>
  <c r="AF115" i="104"/>
  <c r="AD115" i="104"/>
  <c r="X115" i="104"/>
  <c r="V115" i="104"/>
  <c r="N115" i="104"/>
  <c r="L115" i="104"/>
  <c r="J115" i="104"/>
  <c r="H115" i="104"/>
  <c r="AZ112" i="104"/>
  <c r="BF112" i="104" s="1"/>
  <c r="AP112" i="104"/>
  <c r="BD112" i="104" s="1"/>
  <c r="AN112" i="104"/>
  <c r="BB112" i="104" s="1"/>
  <c r="AL112" i="104"/>
  <c r="AR112" i="104" s="1"/>
  <c r="Z112" i="104"/>
  <c r="X112" i="104"/>
  <c r="AN111" i="104"/>
  <c r="BB111" i="104" s="1"/>
  <c r="AL111" i="104"/>
  <c r="AZ111" i="104" s="1"/>
  <c r="Z111" i="104"/>
  <c r="X111" i="104"/>
  <c r="AP111" i="104" s="1"/>
  <c r="BB110" i="104"/>
  <c r="AZ110" i="104"/>
  <c r="BF110" i="104" s="1"/>
  <c r="AN110" i="104"/>
  <c r="AL110" i="104"/>
  <c r="AR110" i="104" s="1"/>
  <c r="Z110" i="104"/>
  <c r="X110" i="104"/>
  <c r="AP110" i="104" s="1"/>
  <c r="BD110" i="104" s="1"/>
  <c r="BD109" i="104"/>
  <c r="AZ109" i="104"/>
  <c r="AP109" i="104"/>
  <c r="AN109" i="104"/>
  <c r="BB109" i="104" s="1"/>
  <c r="AL109" i="104"/>
  <c r="AR109" i="104" s="1"/>
  <c r="Z109" i="104"/>
  <c r="X109" i="104"/>
  <c r="BB108" i="104"/>
  <c r="AP108" i="104"/>
  <c r="BD108" i="104" s="1"/>
  <c r="AN108" i="104"/>
  <c r="AL108" i="104"/>
  <c r="AZ108" i="104" s="1"/>
  <c r="X108" i="104"/>
  <c r="Z108" i="104" s="1"/>
  <c r="BD107" i="104"/>
  <c r="AZ107" i="104"/>
  <c r="AP107" i="104"/>
  <c r="AN107" i="104"/>
  <c r="AL107" i="104"/>
  <c r="Z107" i="104"/>
  <c r="X107" i="104"/>
  <c r="BB106" i="104"/>
  <c r="AZ106" i="104"/>
  <c r="BF106" i="104" s="1"/>
  <c r="BH106" i="104" s="1"/>
  <c r="AR106" i="104"/>
  <c r="AP106" i="104"/>
  <c r="BD106" i="104" s="1"/>
  <c r="AN106" i="104"/>
  <c r="AL106" i="104"/>
  <c r="X106" i="104"/>
  <c r="Z106" i="104" s="1"/>
  <c r="A106" i="104"/>
  <c r="BB105" i="104"/>
  <c r="AZ105" i="104"/>
  <c r="AN105" i="104"/>
  <c r="AL105" i="104"/>
  <c r="X105" i="104"/>
  <c r="A105" i="104"/>
  <c r="BJ105" i="104" s="1"/>
  <c r="BJ104" i="104"/>
  <c r="BF104" i="104"/>
  <c r="BH104" i="104" s="1"/>
  <c r="BD104" i="104"/>
  <c r="BB104" i="104"/>
  <c r="AZ104" i="104"/>
  <c r="AN104" i="104"/>
  <c r="AL104" i="104"/>
  <c r="Z104" i="104"/>
  <c r="X104" i="104"/>
  <c r="AP104" i="104" s="1"/>
  <c r="AR104" i="104" s="1"/>
  <c r="A104" i="104"/>
  <c r="BB103" i="104"/>
  <c r="AN103" i="104"/>
  <c r="AL103" i="104"/>
  <c r="AL102" i="104" s="1"/>
  <c r="Z103" i="104"/>
  <c r="X103" i="104"/>
  <c r="A103" i="104"/>
  <c r="BJ103" i="104" s="1"/>
  <c r="BJ102" i="104"/>
  <c r="AX102" i="104"/>
  <c r="AV102" i="104"/>
  <c r="AT102" i="104"/>
  <c r="AT15" i="104" s="1"/>
  <c r="AH102" i="104"/>
  <c r="AF102" i="104"/>
  <c r="AD102" i="104"/>
  <c r="V102" i="104"/>
  <c r="T102" i="104"/>
  <c r="N102" i="104"/>
  <c r="L102" i="104"/>
  <c r="J102" i="104"/>
  <c r="H102" i="104"/>
  <c r="BD99" i="104"/>
  <c r="AP99" i="104"/>
  <c r="AN99" i="104"/>
  <c r="BB99" i="104" s="1"/>
  <c r="AL99" i="104"/>
  <c r="V99" i="104"/>
  <c r="Z99" i="104" s="1"/>
  <c r="AZ98" i="104"/>
  <c r="BF98" i="104" s="1"/>
  <c r="BH98" i="104" s="1"/>
  <c r="AP98" i="104"/>
  <c r="BD98" i="104" s="1"/>
  <c r="AN98" i="104"/>
  <c r="BB98" i="104" s="1"/>
  <c r="AL98" i="104"/>
  <c r="AR98" i="104" s="1"/>
  <c r="Z98" i="104"/>
  <c r="V98" i="104"/>
  <c r="AR97" i="104"/>
  <c r="AP97" i="104"/>
  <c r="BD97" i="104" s="1"/>
  <c r="AN97" i="104"/>
  <c r="BB97" i="104" s="1"/>
  <c r="AL97" i="104"/>
  <c r="AZ97" i="104" s="1"/>
  <c r="V97" i="104"/>
  <c r="Z97" i="104" s="1"/>
  <c r="AP96" i="104"/>
  <c r="BD96" i="104" s="1"/>
  <c r="AL96" i="104"/>
  <c r="AZ96" i="104" s="1"/>
  <c r="BF96" i="104" s="1"/>
  <c r="BH96" i="104" s="1"/>
  <c r="Z96" i="104"/>
  <c r="V96" i="104"/>
  <c r="AN96" i="104" s="1"/>
  <c r="BB96" i="104" s="1"/>
  <c r="AP95" i="104"/>
  <c r="BD95" i="104" s="1"/>
  <c r="AN95" i="104"/>
  <c r="AL95" i="104"/>
  <c r="AZ95" i="104" s="1"/>
  <c r="Z95" i="104"/>
  <c r="V95" i="104"/>
  <c r="BD94" i="104"/>
  <c r="AP94" i="104"/>
  <c r="AN94" i="104"/>
  <c r="BB94" i="104" s="1"/>
  <c r="AL94" i="104"/>
  <c r="Z94" i="104"/>
  <c r="V94" i="104"/>
  <c r="BD93" i="104"/>
  <c r="AP93" i="104"/>
  <c r="AN93" i="104"/>
  <c r="BB93" i="104" s="1"/>
  <c r="AL93" i="104"/>
  <c r="V93" i="104"/>
  <c r="Z93" i="104" s="1"/>
  <c r="BD92" i="104"/>
  <c r="AZ92" i="104"/>
  <c r="AP92" i="104"/>
  <c r="AN92" i="104"/>
  <c r="BB92" i="104" s="1"/>
  <c r="BF92" i="104" s="1"/>
  <c r="BH92" i="104" s="1"/>
  <c r="AL92" i="104"/>
  <c r="V92" i="104"/>
  <c r="Z92" i="104" s="1"/>
  <c r="BD91" i="104"/>
  <c r="AZ91" i="104"/>
  <c r="AP91" i="104"/>
  <c r="AL91" i="104"/>
  <c r="Z91" i="104"/>
  <c r="V91" i="104"/>
  <c r="AN91" i="104" s="1"/>
  <c r="BB91" i="104" s="1"/>
  <c r="BF91" i="104" s="1"/>
  <c r="BH91" i="104" s="1"/>
  <c r="BD90" i="104"/>
  <c r="AP90" i="104"/>
  <c r="AL90" i="104"/>
  <c r="AZ90" i="104" s="1"/>
  <c r="Z90" i="104"/>
  <c r="V90" i="104"/>
  <c r="AN90" i="104" s="1"/>
  <c r="BB90" i="104" s="1"/>
  <c r="BD89" i="104"/>
  <c r="AP89" i="104"/>
  <c r="AN89" i="104"/>
  <c r="BB89" i="104" s="1"/>
  <c r="AL89" i="104"/>
  <c r="Z89" i="104"/>
  <c r="V89" i="104"/>
  <c r="BD88" i="104"/>
  <c r="AP88" i="104"/>
  <c r="AL88" i="104"/>
  <c r="V88" i="104"/>
  <c r="BD87" i="104"/>
  <c r="AP87" i="104"/>
  <c r="AL87" i="104"/>
  <c r="AZ87" i="104" s="1"/>
  <c r="Z87" i="104"/>
  <c r="V87" i="104"/>
  <c r="AN87" i="104" s="1"/>
  <c r="AZ86" i="104"/>
  <c r="AP86" i="104"/>
  <c r="BD86" i="104" s="1"/>
  <c r="AL86" i="104"/>
  <c r="V86" i="104"/>
  <c r="AN86" i="104" s="1"/>
  <c r="BB85" i="104"/>
  <c r="AZ85" i="104"/>
  <c r="AP85" i="104"/>
  <c r="BD85" i="104" s="1"/>
  <c r="AN85" i="104"/>
  <c r="AR85" i="104" s="1"/>
  <c r="AL85" i="104"/>
  <c r="V85" i="104"/>
  <c r="Z85" i="104" s="1"/>
  <c r="BD84" i="104"/>
  <c r="AZ84" i="104"/>
  <c r="AP84" i="104"/>
  <c r="AN84" i="104"/>
  <c r="BB84" i="104" s="1"/>
  <c r="AL84" i="104"/>
  <c r="AR84" i="104" s="1"/>
  <c r="Z84" i="104"/>
  <c r="V84" i="104"/>
  <c r="BB83" i="104"/>
  <c r="AR83" i="104"/>
  <c r="AP83" i="104"/>
  <c r="BD83" i="104" s="1"/>
  <c r="AN83" i="104"/>
  <c r="AL83" i="104"/>
  <c r="AZ83" i="104" s="1"/>
  <c r="BF83" i="104" s="1"/>
  <c r="BH83" i="104" s="1"/>
  <c r="Z83" i="104"/>
  <c r="V83" i="104"/>
  <c r="AZ82" i="104"/>
  <c r="AP82" i="104"/>
  <c r="BD82" i="104" s="1"/>
  <c r="AN82" i="104"/>
  <c r="BB82" i="104" s="1"/>
  <c r="AL82" i="104"/>
  <c r="AR82" i="104" s="1"/>
  <c r="Z82" i="104"/>
  <c r="V82" i="104"/>
  <c r="AZ81" i="104"/>
  <c r="AP81" i="104"/>
  <c r="BD81" i="104" s="1"/>
  <c r="AN81" i="104"/>
  <c r="BB81" i="104" s="1"/>
  <c r="AL81" i="104"/>
  <c r="AR81" i="104" s="1"/>
  <c r="Z81" i="104"/>
  <c r="V81" i="104"/>
  <c r="AZ80" i="104"/>
  <c r="AP80" i="104"/>
  <c r="BD80" i="104" s="1"/>
  <c r="AL80" i="104"/>
  <c r="V80" i="104"/>
  <c r="Z80" i="104" s="1"/>
  <c r="BB79" i="104"/>
  <c r="AZ79" i="104"/>
  <c r="AR79" i="104"/>
  <c r="AP79" i="104"/>
  <c r="BD79" i="104" s="1"/>
  <c r="AL79" i="104"/>
  <c r="V79" i="104"/>
  <c r="AN79" i="104" s="1"/>
  <c r="BD78" i="104"/>
  <c r="BB78" i="104"/>
  <c r="AR78" i="104"/>
  <c r="AP78" i="104"/>
  <c r="AL78" i="104"/>
  <c r="AZ78" i="104" s="1"/>
  <c r="BF78" i="104" s="1"/>
  <c r="BH78" i="104" s="1"/>
  <c r="V78" i="104"/>
  <c r="AN78" i="104" s="1"/>
  <c r="BD77" i="104"/>
  <c r="AP77" i="104"/>
  <c r="AL77" i="104"/>
  <c r="V77" i="104"/>
  <c r="AN77" i="104" s="1"/>
  <c r="BB77" i="104" s="1"/>
  <c r="BD76" i="104"/>
  <c r="BB76" i="104"/>
  <c r="AP76" i="104"/>
  <c r="AN76" i="104"/>
  <c r="AL76" i="104"/>
  <c r="V76" i="104"/>
  <c r="Z76" i="104" s="1"/>
  <c r="AP75" i="104"/>
  <c r="BD75" i="104" s="1"/>
  <c r="AL75" i="104"/>
  <c r="AZ75" i="104" s="1"/>
  <c r="Z75" i="104"/>
  <c r="V75" i="104"/>
  <c r="AN75" i="104" s="1"/>
  <c r="BB75" i="104" s="1"/>
  <c r="AP74" i="104"/>
  <c r="BD74" i="104" s="1"/>
  <c r="AL74" i="104"/>
  <c r="AZ74" i="104" s="1"/>
  <c r="Z74" i="104"/>
  <c r="V74" i="104"/>
  <c r="AN74" i="104" s="1"/>
  <c r="BB74" i="104" s="1"/>
  <c r="AR73" i="104"/>
  <c r="AP73" i="104"/>
  <c r="BD73" i="104" s="1"/>
  <c r="AN73" i="104"/>
  <c r="BB73" i="104" s="1"/>
  <c r="AL73" i="104"/>
  <c r="AZ73" i="104" s="1"/>
  <c r="BF73" i="104" s="1"/>
  <c r="BH73" i="104" s="1"/>
  <c r="V73" i="104"/>
  <c r="Z73" i="104" s="1"/>
  <c r="AZ72" i="104"/>
  <c r="AP72" i="104"/>
  <c r="BD72" i="104" s="1"/>
  <c r="AL72" i="104"/>
  <c r="AR72" i="104" s="1"/>
  <c r="V72" i="104"/>
  <c r="AN72" i="104" s="1"/>
  <c r="BB72" i="104" s="1"/>
  <c r="BB71" i="104"/>
  <c r="AR71" i="104"/>
  <c r="AP71" i="104"/>
  <c r="BD71" i="104" s="1"/>
  <c r="AN71" i="104"/>
  <c r="AL71" i="104"/>
  <c r="AZ71" i="104" s="1"/>
  <c r="Z71" i="104"/>
  <c r="V71" i="104"/>
  <c r="BD70" i="104"/>
  <c r="AZ70" i="104"/>
  <c r="AP70" i="104"/>
  <c r="AN70" i="104"/>
  <c r="BB70" i="104" s="1"/>
  <c r="AL70" i="104"/>
  <c r="AR70" i="104" s="1"/>
  <c r="Z70" i="104"/>
  <c r="V70" i="104"/>
  <c r="BF69" i="104"/>
  <c r="BH69" i="104" s="1"/>
  <c r="BB69" i="104"/>
  <c r="AZ69" i="104"/>
  <c r="AP69" i="104"/>
  <c r="BD69" i="104" s="1"/>
  <c r="AN69" i="104"/>
  <c r="AR69" i="104" s="1"/>
  <c r="AL69" i="104"/>
  <c r="V69" i="104"/>
  <c r="Z69" i="104" s="1"/>
  <c r="BD68" i="104"/>
  <c r="AZ68" i="104"/>
  <c r="AP68" i="104"/>
  <c r="AL68" i="104"/>
  <c r="V68" i="104"/>
  <c r="AN68" i="104" s="1"/>
  <c r="BD67" i="104"/>
  <c r="AZ67" i="104"/>
  <c r="AP67" i="104"/>
  <c r="AL67" i="104"/>
  <c r="Z67" i="104"/>
  <c r="V67" i="104"/>
  <c r="AN67" i="104" s="1"/>
  <c r="BD66" i="104"/>
  <c r="AZ66" i="104"/>
  <c r="AP66" i="104"/>
  <c r="AL66" i="104"/>
  <c r="V66" i="104"/>
  <c r="BD65" i="104"/>
  <c r="BB65" i="104"/>
  <c r="AP65" i="104"/>
  <c r="AN65" i="104"/>
  <c r="AL65" i="104"/>
  <c r="AZ65" i="104" s="1"/>
  <c r="BF65" i="104" s="1"/>
  <c r="BH65" i="104" s="1"/>
  <c r="Z65" i="104"/>
  <c r="V65" i="104"/>
  <c r="BD64" i="104"/>
  <c r="AP64" i="104"/>
  <c r="AL64" i="104"/>
  <c r="V64" i="104"/>
  <c r="AN64" i="104" s="1"/>
  <c r="BB64" i="104" s="1"/>
  <c r="AP63" i="104"/>
  <c r="BD63" i="104" s="1"/>
  <c r="AN63" i="104"/>
  <c r="AL63" i="104"/>
  <c r="AZ63" i="104" s="1"/>
  <c r="Z63" i="104"/>
  <c r="V63" i="104"/>
  <c r="AP62" i="104"/>
  <c r="BD62" i="104" s="1"/>
  <c r="AL62" i="104"/>
  <c r="AZ62" i="104" s="1"/>
  <c r="Z62" i="104"/>
  <c r="V62" i="104"/>
  <c r="AN62" i="104" s="1"/>
  <c r="BB62" i="104" s="1"/>
  <c r="AR61" i="104"/>
  <c r="AP61" i="104"/>
  <c r="BD61" i="104" s="1"/>
  <c r="AL61" i="104"/>
  <c r="AZ61" i="104" s="1"/>
  <c r="BF61" i="104" s="1"/>
  <c r="BH61" i="104" s="1"/>
  <c r="V61" i="104"/>
  <c r="AN61" i="104" s="1"/>
  <c r="BB61" i="104" s="1"/>
  <c r="AZ60" i="104"/>
  <c r="AP60" i="104"/>
  <c r="BD60" i="104" s="1"/>
  <c r="AL60" i="104"/>
  <c r="Z60" i="104"/>
  <c r="V60" i="104"/>
  <c r="AN60" i="104" s="1"/>
  <c r="BB60" i="104" s="1"/>
  <c r="BB59" i="104"/>
  <c r="AP59" i="104"/>
  <c r="BD59" i="104" s="1"/>
  <c r="AN59" i="104"/>
  <c r="AL59" i="104"/>
  <c r="AZ59" i="104" s="1"/>
  <c r="BF59" i="104" s="1"/>
  <c r="BH59" i="104" s="1"/>
  <c r="Z59" i="104"/>
  <c r="V59" i="104"/>
  <c r="BD58" i="104"/>
  <c r="AZ58" i="104"/>
  <c r="AP58" i="104"/>
  <c r="AN58" i="104"/>
  <c r="BB58" i="104" s="1"/>
  <c r="AL58" i="104"/>
  <c r="AR58" i="104" s="1"/>
  <c r="Z58" i="104"/>
  <c r="V58" i="104"/>
  <c r="BF57" i="104"/>
  <c r="BH57" i="104" s="1"/>
  <c r="BB57" i="104"/>
  <c r="AZ57" i="104"/>
  <c r="AP57" i="104"/>
  <c r="BD57" i="104" s="1"/>
  <c r="AN57" i="104"/>
  <c r="AR57" i="104" s="1"/>
  <c r="AL57" i="104"/>
  <c r="V57" i="104"/>
  <c r="Z57" i="104" s="1"/>
  <c r="BD56" i="104"/>
  <c r="AZ56" i="104"/>
  <c r="AP56" i="104"/>
  <c r="AL56" i="104"/>
  <c r="V56" i="104"/>
  <c r="AN56" i="104" s="1"/>
  <c r="BD55" i="104"/>
  <c r="AZ55" i="104"/>
  <c r="AP55" i="104"/>
  <c r="AL55" i="104"/>
  <c r="Z55" i="104"/>
  <c r="V55" i="104"/>
  <c r="AN55" i="104" s="1"/>
  <c r="BD54" i="104"/>
  <c r="AZ54" i="104"/>
  <c r="AP54" i="104"/>
  <c r="AL54" i="104"/>
  <c r="V54" i="104"/>
  <c r="BD53" i="104"/>
  <c r="BB53" i="104"/>
  <c r="AP53" i="104"/>
  <c r="AN53" i="104"/>
  <c r="AL53" i="104"/>
  <c r="AZ53" i="104" s="1"/>
  <c r="BF53" i="104" s="1"/>
  <c r="BH53" i="104" s="1"/>
  <c r="Z53" i="104"/>
  <c r="V53" i="104"/>
  <c r="BD52" i="104"/>
  <c r="AP52" i="104"/>
  <c r="AL52" i="104"/>
  <c r="V52" i="104"/>
  <c r="AN52" i="104" s="1"/>
  <c r="BB52" i="104" s="1"/>
  <c r="AP51" i="104"/>
  <c r="BD51" i="104" s="1"/>
  <c r="AN51" i="104"/>
  <c r="AL51" i="104"/>
  <c r="AZ51" i="104" s="1"/>
  <c r="Z51" i="104"/>
  <c r="V51" i="104"/>
  <c r="AP50" i="104"/>
  <c r="BD50" i="104" s="1"/>
  <c r="AL50" i="104"/>
  <c r="AZ50" i="104" s="1"/>
  <c r="BF50" i="104" s="1"/>
  <c r="BH50" i="104" s="1"/>
  <c r="Z50" i="104"/>
  <c r="V50" i="104"/>
  <c r="AN50" i="104" s="1"/>
  <c r="BB50" i="104" s="1"/>
  <c r="AP49" i="104"/>
  <c r="BD49" i="104" s="1"/>
  <c r="AL49" i="104"/>
  <c r="AZ49" i="104" s="1"/>
  <c r="BF49" i="104" s="1"/>
  <c r="BH49" i="104" s="1"/>
  <c r="V49" i="104"/>
  <c r="AN49" i="104" s="1"/>
  <c r="BB49" i="104" s="1"/>
  <c r="AZ48" i="104"/>
  <c r="BF48" i="104" s="1"/>
  <c r="BH48" i="104" s="1"/>
  <c r="AP48" i="104"/>
  <c r="BD48" i="104" s="1"/>
  <c r="AL48" i="104"/>
  <c r="AR48" i="104" s="1"/>
  <c r="Z48" i="104"/>
  <c r="V48" i="104"/>
  <c r="AN48" i="104" s="1"/>
  <c r="BB48" i="104" s="1"/>
  <c r="BB47" i="104"/>
  <c r="AP47" i="104"/>
  <c r="BD47" i="104" s="1"/>
  <c r="AN47" i="104"/>
  <c r="AL47" i="104"/>
  <c r="AZ47" i="104" s="1"/>
  <c r="BF47" i="104" s="1"/>
  <c r="BH47" i="104" s="1"/>
  <c r="Z47" i="104"/>
  <c r="V47" i="104"/>
  <c r="BD46" i="104"/>
  <c r="AZ46" i="104"/>
  <c r="AP46" i="104"/>
  <c r="AN46" i="104"/>
  <c r="BB46" i="104" s="1"/>
  <c r="AL46" i="104"/>
  <c r="Z46" i="104"/>
  <c r="V46" i="104"/>
  <c r="BB45" i="104"/>
  <c r="AZ45" i="104"/>
  <c r="AP45" i="104"/>
  <c r="BD45" i="104" s="1"/>
  <c r="BF45" i="104" s="1"/>
  <c r="BH45" i="104" s="1"/>
  <c r="AN45" i="104"/>
  <c r="AR45" i="104" s="1"/>
  <c r="AL45" i="104"/>
  <c r="V45" i="104"/>
  <c r="Z45" i="104" s="1"/>
  <c r="BD44" i="104"/>
  <c r="AZ44" i="104"/>
  <c r="AP44" i="104"/>
  <c r="AL44" i="104"/>
  <c r="V44" i="104"/>
  <c r="AN44" i="104" s="1"/>
  <c r="BD43" i="104"/>
  <c r="AZ43" i="104"/>
  <c r="AP43" i="104"/>
  <c r="AL43" i="104"/>
  <c r="Z43" i="104"/>
  <c r="V43" i="104"/>
  <c r="A43" i="104"/>
  <c r="BJ42" i="104"/>
  <c r="AX42" i="104"/>
  <c r="AV42" i="104"/>
  <c r="AT42" i="104"/>
  <c r="AH42" i="104"/>
  <c r="AH14" i="104" s="1"/>
  <c r="AF42" i="104"/>
  <c r="AD42" i="104"/>
  <c r="X42" i="104"/>
  <c r="X14" i="104" s="1"/>
  <c r="T42" i="104"/>
  <c r="N42" i="104"/>
  <c r="L42" i="104"/>
  <c r="J42" i="104"/>
  <c r="H42" i="104"/>
  <c r="BD39" i="104"/>
  <c r="BB39" i="104"/>
  <c r="AP39" i="104"/>
  <c r="AN39" i="104"/>
  <c r="T39" i="104"/>
  <c r="BD38" i="104"/>
  <c r="BB38" i="104"/>
  <c r="AP38" i="104"/>
  <c r="AN38" i="104"/>
  <c r="AL38" i="104"/>
  <c r="AZ38" i="104" s="1"/>
  <c r="BF38" i="104" s="1"/>
  <c r="BH38" i="104" s="1"/>
  <c r="Z38" i="104"/>
  <c r="T38" i="104"/>
  <c r="BD37" i="104"/>
  <c r="AP37" i="104"/>
  <c r="AN37" i="104"/>
  <c r="BB37" i="104" s="1"/>
  <c r="AL37" i="104"/>
  <c r="T37" i="104"/>
  <c r="Z37" i="104" s="1"/>
  <c r="AP36" i="104"/>
  <c r="BD36" i="104" s="1"/>
  <c r="AN36" i="104"/>
  <c r="BB36" i="104" s="1"/>
  <c r="Z36" i="104"/>
  <c r="T36" i="104"/>
  <c r="AL36" i="104" s="1"/>
  <c r="AP35" i="104"/>
  <c r="AN35" i="104"/>
  <c r="BB35" i="104" s="1"/>
  <c r="AL35" i="104"/>
  <c r="AZ35" i="104" s="1"/>
  <c r="Z35" i="104"/>
  <c r="T35" i="104"/>
  <c r="A35" i="104"/>
  <c r="A36" i="104" s="1"/>
  <c r="BJ34" i="104"/>
  <c r="AX34" i="104"/>
  <c r="AX13" i="104" s="1"/>
  <c r="AV34" i="104"/>
  <c r="AT34" i="104"/>
  <c r="AT13" i="104" s="1"/>
  <c r="AH34" i="104"/>
  <c r="AF34" i="104"/>
  <c r="AD34" i="104"/>
  <c r="X34" i="104"/>
  <c r="V34" i="104"/>
  <c r="V13" i="104" s="1"/>
  <c r="N34" i="104"/>
  <c r="N13" i="104" s="1"/>
  <c r="L34" i="104"/>
  <c r="J34" i="104"/>
  <c r="H34" i="104"/>
  <c r="AR31" i="104"/>
  <c r="AP31" i="104"/>
  <c r="BD31" i="104" s="1"/>
  <c r="AN31" i="104"/>
  <c r="BB31" i="104" s="1"/>
  <c r="AL31" i="104"/>
  <c r="AZ31" i="104" s="1"/>
  <c r="Z31" i="104"/>
  <c r="AP30" i="104"/>
  <c r="BD30" i="104" s="1"/>
  <c r="AN30" i="104"/>
  <c r="BB30" i="104" s="1"/>
  <c r="AL30" i="104"/>
  <c r="AZ30" i="104" s="1"/>
  <c r="BF30" i="104" s="1"/>
  <c r="BH30" i="104" s="1"/>
  <c r="Z30" i="104"/>
  <c r="AP29" i="104"/>
  <c r="BD29" i="104" s="1"/>
  <c r="AN29" i="104"/>
  <c r="BB29" i="104" s="1"/>
  <c r="T29" i="104"/>
  <c r="AP28" i="104"/>
  <c r="BD28" i="104" s="1"/>
  <c r="AN28" i="104"/>
  <c r="BB28" i="104" s="1"/>
  <c r="T28" i="104"/>
  <c r="BB27" i="104"/>
  <c r="BB26" i="104" s="1"/>
  <c r="BB12" i="104" s="1"/>
  <c r="AR27" i="104"/>
  <c r="AP27" i="104"/>
  <c r="AP26" i="104" s="1"/>
  <c r="AN27" i="104"/>
  <c r="AN26" i="104" s="1"/>
  <c r="AN12" i="104" s="1"/>
  <c r="AL27" i="104"/>
  <c r="Z27" i="104"/>
  <c r="T27" i="104"/>
  <c r="A27" i="104"/>
  <c r="A28" i="104" s="1"/>
  <c r="BJ28" i="104" s="1"/>
  <c r="BJ26" i="104"/>
  <c r="AX26" i="104"/>
  <c r="AV26" i="104"/>
  <c r="AT26" i="104"/>
  <c r="AT12" i="104" s="1"/>
  <c r="AH26" i="104"/>
  <c r="AH12" i="104" s="1"/>
  <c r="AF26" i="104"/>
  <c r="AD26" i="104"/>
  <c r="AD12" i="104" s="1"/>
  <c r="X26" i="104"/>
  <c r="X12" i="104" s="1"/>
  <c r="V26" i="104"/>
  <c r="N26" i="104"/>
  <c r="N12" i="104" s="1"/>
  <c r="L26" i="104"/>
  <c r="J26" i="104"/>
  <c r="H26" i="104"/>
  <c r="BD22" i="104"/>
  <c r="AX22" i="104"/>
  <c r="AV22" i="104"/>
  <c r="BB22" i="104" s="1"/>
  <c r="AT22" i="104"/>
  <c r="AZ22" i="104" s="1"/>
  <c r="AP22" i="104"/>
  <c r="AN22" i="104"/>
  <c r="AL22" i="104"/>
  <c r="AR22" i="104" s="1"/>
  <c r="AH22" i="104"/>
  <c r="AF22" i="104"/>
  <c r="AD22" i="104"/>
  <c r="X22" i="104"/>
  <c r="V22" i="104"/>
  <c r="T22" i="104"/>
  <c r="Z22" i="104" s="1"/>
  <c r="N22" i="104"/>
  <c r="L22" i="104"/>
  <c r="J22" i="104"/>
  <c r="H22" i="104"/>
  <c r="AX21" i="104"/>
  <c r="BD21" i="104" s="1"/>
  <c r="AV21" i="104"/>
  <c r="BB21" i="104" s="1"/>
  <c r="AT21" i="104"/>
  <c r="AP21" i="104"/>
  <c r="AN21" i="104"/>
  <c r="AL21" i="104"/>
  <c r="AR21" i="104" s="1"/>
  <c r="AH21" i="104"/>
  <c r="AF21" i="104"/>
  <c r="AD21" i="104"/>
  <c r="X21" i="104"/>
  <c r="V21" i="104"/>
  <c r="T21" i="104"/>
  <c r="Z21" i="104" s="1"/>
  <c r="N21" i="104"/>
  <c r="L21" i="104"/>
  <c r="J21" i="104"/>
  <c r="H21" i="104"/>
  <c r="AX20" i="104"/>
  <c r="BD20" i="104" s="1"/>
  <c r="AV20" i="104"/>
  <c r="AT20" i="104"/>
  <c r="AP20" i="104"/>
  <c r="AN20" i="104"/>
  <c r="BB20" i="104" s="1"/>
  <c r="AH20" i="104"/>
  <c r="AF20" i="104"/>
  <c r="AD20" i="104"/>
  <c r="X20" i="104"/>
  <c r="V20" i="104"/>
  <c r="Z20" i="104" s="1"/>
  <c r="T20" i="104"/>
  <c r="N20" i="104"/>
  <c r="L20" i="104"/>
  <c r="J20" i="104"/>
  <c r="H20" i="104"/>
  <c r="AF17" i="104"/>
  <c r="AF23" i="104" s="1"/>
  <c r="AD17" i="104"/>
  <c r="AD23" i="104" s="1"/>
  <c r="L17" i="104"/>
  <c r="L23" i="104" s="1"/>
  <c r="AX16" i="104"/>
  <c r="AV16" i="104"/>
  <c r="AT16" i="104"/>
  <c r="AH16" i="104"/>
  <c r="AF16" i="104"/>
  <c r="AD16" i="104"/>
  <c r="X16" i="104"/>
  <c r="V16" i="104"/>
  <c r="T16" i="104"/>
  <c r="Z16" i="104" s="1"/>
  <c r="N16" i="104"/>
  <c r="L16" i="104"/>
  <c r="J16" i="104"/>
  <c r="H16" i="104"/>
  <c r="AX15" i="104"/>
  <c r="AV15" i="104"/>
  <c r="AL15" i="104"/>
  <c r="AH15" i="104"/>
  <c r="AF15" i="104"/>
  <c r="AD15" i="104"/>
  <c r="V15" i="104"/>
  <c r="T15" i="104"/>
  <c r="N15" i="104"/>
  <c r="L15" i="104"/>
  <c r="J15" i="104"/>
  <c r="H15" i="104"/>
  <c r="AX14" i="104"/>
  <c r="AV14" i="104"/>
  <c r="AT14" i="104"/>
  <c r="AF14" i="104"/>
  <c r="AD14" i="104"/>
  <c r="T14" i="104"/>
  <c r="N14" i="104"/>
  <c r="L14" i="104"/>
  <c r="J14" i="104"/>
  <c r="H14" i="104"/>
  <c r="A14" i="104"/>
  <c r="AV13" i="104"/>
  <c r="AH13" i="104"/>
  <c r="AF13" i="104"/>
  <c r="AD13" i="104"/>
  <c r="X13" i="104"/>
  <c r="L13" i="104"/>
  <c r="J13" i="104"/>
  <c r="H13" i="104"/>
  <c r="H17" i="104" s="1"/>
  <c r="H23" i="104" s="1"/>
  <c r="A13" i="104"/>
  <c r="BJ13" i="104" s="1"/>
  <c r="BJ12" i="104"/>
  <c r="AX12" i="104"/>
  <c r="AV12" i="104"/>
  <c r="AP12" i="104"/>
  <c r="AF12" i="104"/>
  <c r="V12" i="104"/>
  <c r="L12" i="104"/>
  <c r="J12" i="104"/>
  <c r="J17" i="104" s="1"/>
  <c r="J23" i="104" s="1"/>
  <c r="H12" i="104"/>
  <c r="BH9" i="104"/>
  <c r="AX129" i="103"/>
  <c r="AN129" i="103"/>
  <c r="BB129" i="103" s="1"/>
  <c r="AL129" i="103"/>
  <c r="AZ129" i="103" s="1"/>
  <c r="AJ129" i="103"/>
  <c r="T129" i="103"/>
  <c r="X129" i="103" s="1"/>
  <c r="AN128" i="103"/>
  <c r="BB128" i="103" s="1"/>
  <c r="AJ128" i="103"/>
  <c r="AX128" i="103" s="1"/>
  <c r="T128" i="103"/>
  <c r="BB127" i="103"/>
  <c r="AX127" i="103"/>
  <c r="BD127" i="103" s="1"/>
  <c r="AP127" i="103"/>
  <c r="AN127" i="103"/>
  <c r="AJ127" i="103"/>
  <c r="X127" i="103"/>
  <c r="T127" i="103"/>
  <c r="AL127" i="103" s="1"/>
  <c r="AZ127" i="103" s="1"/>
  <c r="AN126" i="103"/>
  <c r="BB126" i="103" s="1"/>
  <c r="AJ126" i="103"/>
  <c r="T126" i="103"/>
  <c r="BB125" i="103"/>
  <c r="BB124" i="103" s="1"/>
  <c r="AN125" i="103"/>
  <c r="AJ125" i="103"/>
  <c r="X125" i="103"/>
  <c r="T125" i="103"/>
  <c r="T124" i="103" s="1"/>
  <c r="T20" i="103" s="1"/>
  <c r="A125" i="103"/>
  <c r="BH124" i="103"/>
  <c r="AV124" i="103"/>
  <c r="AT124" i="103"/>
  <c r="AR124" i="103"/>
  <c r="AN124" i="103"/>
  <c r="AF124" i="103"/>
  <c r="AD124" i="103"/>
  <c r="AB124" i="103"/>
  <c r="AB20" i="103" s="1"/>
  <c r="V124" i="103"/>
  <c r="R124" i="103"/>
  <c r="N124" i="103"/>
  <c r="L124" i="103"/>
  <c r="J124" i="103"/>
  <c r="H124" i="103"/>
  <c r="BB122" i="103"/>
  <c r="AZ122" i="103"/>
  <c r="AX122" i="103"/>
  <c r="AP122" i="103"/>
  <c r="AN122" i="103"/>
  <c r="AL122" i="103"/>
  <c r="AJ122" i="103"/>
  <c r="AX121" i="103"/>
  <c r="BD121" i="103" s="1"/>
  <c r="AN121" i="103"/>
  <c r="BB121" i="103" s="1"/>
  <c r="AL121" i="103"/>
  <c r="AZ121" i="103" s="1"/>
  <c r="AJ121" i="103"/>
  <c r="X121" i="103"/>
  <c r="AX120" i="103"/>
  <c r="AN120" i="103"/>
  <c r="BB120" i="103" s="1"/>
  <c r="AL120" i="103"/>
  <c r="AZ120" i="103" s="1"/>
  <c r="AJ120" i="103"/>
  <c r="X120" i="103"/>
  <c r="AX119" i="103"/>
  <c r="BD119" i="103" s="1"/>
  <c r="AN119" i="103"/>
  <c r="BB119" i="103" s="1"/>
  <c r="AL119" i="103"/>
  <c r="AZ119" i="103" s="1"/>
  <c r="AJ119" i="103"/>
  <c r="X119" i="103"/>
  <c r="AN118" i="103"/>
  <c r="BB118" i="103" s="1"/>
  <c r="AL118" i="103"/>
  <c r="R118" i="103"/>
  <c r="AJ118" i="103" s="1"/>
  <c r="AZ117" i="103"/>
  <c r="AX117" i="103"/>
  <c r="AN117" i="103"/>
  <c r="AL117" i="103"/>
  <c r="AJ117" i="103"/>
  <c r="X117" i="103"/>
  <c r="R117" i="103"/>
  <c r="R116" i="103" s="1"/>
  <c r="A117" i="103"/>
  <c r="A118" i="103" s="1"/>
  <c r="BH116" i="103"/>
  <c r="AV116" i="103"/>
  <c r="AT116" i="103"/>
  <c r="AR116" i="103"/>
  <c r="AF116" i="103"/>
  <c r="AD116" i="103"/>
  <c r="AB116" i="103"/>
  <c r="V116" i="103"/>
  <c r="T116" i="103"/>
  <c r="N116" i="103"/>
  <c r="L116" i="103"/>
  <c r="J116" i="103"/>
  <c r="H116" i="103"/>
  <c r="AZ113" i="103"/>
  <c r="AX113" i="103"/>
  <c r="AN113" i="103"/>
  <c r="AL113" i="103"/>
  <c r="AJ113" i="103"/>
  <c r="X113" i="103"/>
  <c r="V113" i="103"/>
  <c r="AZ112" i="103"/>
  <c r="AX112" i="103"/>
  <c r="AN112" i="103"/>
  <c r="AL112" i="103"/>
  <c r="AJ112" i="103"/>
  <c r="X112" i="103"/>
  <c r="V112" i="103"/>
  <c r="AZ111" i="103"/>
  <c r="BD111" i="103" s="1"/>
  <c r="BF111" i="103" s="1"/>
  <c r="AX111" i="103"/>
  <c r="AL111" i="103"/>
  <c r="AJ111" i="103"/>
  <c r="X111" i="103"/>
  <c r="V111" i="103"/>
  <c r="AN111" i="103" s="1"/>
  <c r="BB111" i="103" s="1"/>
  <c r="AZ110" i="103"/>
  <c r="AX110" i="103"/>
  <c r="AL110" i="103"/>
  <c r="AJ110" i="103"/>
  <c r="V110" i="103"/>
  <c r="AN110" i="103" s="1"/>
  <c r="BB110" i="103" s="1"/>
  <c r="AZ109" i="103"/>
  <c r="AL109" i="103"/>
  <c r="AJ109" i="103"/>
  <c r="AX109" i="103" s="1"/>
  <c r="V109" i="103"/>
  <c r="AN109" i="103" s="1"/>
  <c r="AL108" i="103"/>
  <c r="AZ108" i="103" s="1"/>
  <c r="AJ108" i="103"/>
  <c r="AX108" i="103" s="1"/>
  <c r="V108" i="103"/>
  <c r="AN108" i="103" s="1"/>
  <c r="BB108" i="103" s="1"/>
  <c r="AL107" i="103"/>
  <c r="AZ107" i="103" s="1"/>
  <c r="BD107" i="103" s="1"/>
  <c r="AJ107" i="103"/>
  <c r="AX107" i="103" s="1"/>
  <c r="X107" i="103"/>
  <c r="V107" i="103"/>
  <c r="AN107" i="103" s="1"/>
  <c r="BB107" i="103" s="1"/>
  <c r="AL106" i="103"/>
  <c r="AZ106" i="103" s="1"/>
  <c r="AJ106" i="103"/>
  <c r="AX106" i="103" s="1"/>
  <c r="V106" i="103"/>
  <c r="AL105" i="103"/>
  <c r="AZ105" i="103" s="1"/>
  <c r="AJ105" i="103"/>
  <c r="AX105" i="103" s="1"/>
  <c r="V105" i="103"/>
  <c r="AL104" i="103"/>
  <c r="AZ104" i="103" s="1"/>
  <c r="AJ104" i="103"/>
  <c r="AX104" i="103" s="1"/>
  <c r="V104" i="103"/>
  <c r="AL103" i="103"/>
  <c r="AZ103" i="103" s="1"/>
  <c r="AJ103" i="103"/>
  <c r="AJ102" i="103" s="1"/>
  <c r="X103" i="103"/>
  <c r="V103" i="103"/>
  <c r="A103" i="103"/>
  <c r="BH102" i="103"/>
  <c r="AV102" i="103"/>
  <c r="AT102" i="103"/>
  <c r="AR102" i="103"/>
  <c r="AL102" i="103"/>
  <c r="AF102" i="103"/>
  <c r="AD102" i="103"/>
  <c r="AB102" i="103"/>
  <c r="T102" i="103"/>
  <c r="R102" i="103"/>
  <c r="N102" i="103"/>
  <c r="L102" i="103"/>
  <c r="L15" i="103" s="1"/>
  <c r="J102" i="103"/>
  <c r="H102" i="103"/>
  <c r="AN99" i="103"/>
  <c r="BB99" i="103" s="1"/>
  <c r="AJ99" i="103"/>
  <c r="T99" i="103"/>
  <c r="AN98" i="103"/>
  <c r="BB98" i="103" s="1"/>
  <c r="AL98" i="103"/>
  <c r="AJ98" i="103"/>
  <c r="AX98" i="103" s="1"/>
  <c r="X98" i="103"/>
  <c r="T98" i="103"/>
  <c r="AN97" i="103"/>
  <c r="BB97" i="103" s="1"/>
  <c r="AL97" i="103"/>
  <c r="AZ97" i="103" s="1"/>
  <c r="AJ97" i="103"/>
  <c r="T97" i="103"/>
  <c r="X97" i="103" s="1"/>
  <c r="AX96" i="103"/>
  <c r="AN96" i="103"/>
  <c r="BB96" i="103" s="1"/>
  <c r="AL96" i="103"/>
  <c r="AZ96" i="103" s="1"/>
  <c r="AJ96" i="103"/>
  <c r="T96" i="103"/>
  <c r="X96" i="103" s="1"/>
  <c r="AX95" i="103"/>
  <c r="AN95" i="103"/>
  <c r="BB95" i="103" s="1"/>
  <c r="AJ95" i="103"/>
  <c r="X95" i="103"/>
  <c r="T95" i="103"/>
  <c r="AL95" i="103" s="1"/>
  <c r="BB94" i="103"/>
  <c r="AZ94" i="103"/>
  <c r="BD94" i="103" s="1"/>
  <c r="AX94" i="103"/>
  <c r="AP94" i="103"/>
  <c r="AN94" i="103"/>
  <c r="AL94" i="103"/>
  <c r="AJ94" i="103"/>
  <c r="X94" i="103"/>
  <c r="T94" i="103"/>
  <c r="BB93" i="103"/>
  <c r="AX93" i="103"/>
  <c r="AN93" i="103"/>
  <c r="AJ93" i="103"/>
  <c r="AP93" i="103" s="1"/>
  <c r="T93" i="103"/>
  <c r="AL93" i="103" s="1"/>
  <c r="AZ93" i="103" s="1"/>
  <c r="BB92" i="103"/>
  <c r="AN92" i="103"/>
  <c r="AJ92" i="103"/>
  <c r="AX92" i="103" s="1"/>
  <c r="T92" i="103"/>
  <c r="AL92" i="103" s="1"/>
  <c r="AP92" i="103" s="1"/>
  <c r="BB91" i="103"/>
  <c r="AN91" i="103"/>
  <c r="AJ91" i="103"/>
  <c r="AX91" i="103" s="1"/>
  <c r="BD91" i="103" s="1"/>
  <c r="BF91" i="103" s="1"/>
  <c r="T91" i="103"/>
  <c r="AL91" i="103" s="1"/>
  <c r="AZ91" i="103" s="1"/>
  <c r="AN90" i="103"/>
  <c r="BB90" i="103" s="1"/>
  <c r="AJ90" i="103"/>
  <c r="AX90" i="103" s="1"/>
  <c r="BD90" i="103" s="1"/>
  <c r="X90" i="103"/>
  <c r="T90" i="103"/>
  <c r="AL90" i="103" s="1"/>
  <c r="AZ90" i="103" s="1"/>
  <c r="AN89" i="103"/>
  <c r="BB89" i="103" s="1"/>
  <c r="AJ89" i="103"/>
  <c r="AX89" i="103" s="1"/>
  <c r="T89" i="103"/>
  <c r="AN88" i="103"/>
  <c r="BB88" i="103" s="1"/>
  <c r="AL88" i="103"/>
  <c r="AZ88" i="103" s="1"/>
  <c r="AJ88" i="103"/>
  <c r="AX88" i="103" s="1"/>
  <c r="X88" i="103"/>
  <c r="T88" i="103"/>
  <c r="AN87" i="103"/>
  <c r="BB87" i="103" s="1"/>
  <c r="AJ87" i="103"/>
  <c r="T87" i="103"/>
  <c r="AP86" i="103"/>
  <c r="AN86" i="103"/>
  <c r="BB86" i="103" s="1"/>
  <c r="AL86" i="103"/>
  <c r="AZ86" i="103" s="1"/>
  <c r="AJ86" i="103"/>
  <c r="AX86" i="103" s="1"/>
  <c r="X86" i="103"/>
  <c r="T86" i="103"/>
  <c r="AN85" i="103"/>
  <c r="BB85" i="103" s="1"/>
  <c r="AL85" i="103"/>
  <c r="AZ85" i="103" s="1"/>
  <c r="AJ85" i="103"/>
  <c r="AX85" i="103" s="1"/>
  <c r="BD85" i="103" s="1"/>
  <c r="BF85" i="103" s="1"/>
  <c r="T85" i="103"/>
  <c r="X85" i="103" s="1"/>
  <c r="AZ84" i="103"/>
  <c r="AX84" i="103"/>
  <c r="AP84" i="103"/>
  <c r="AN84" i="103"/>
  <c r="BB84" i="103" s="1"/>
  <c r="AL84" i="103"/>
  <c r="AJ84" i="103"/>
  <c r="T84" i="103"/>
  <c r="X84" i="103" s="1"/>
  <c r="AZ83" i="103"/>
  <c r="AX83" i="103"/>
  <c r="AN83" i="103"/>
  <c r="AJ83" i="103"/>
  <c r="X83" i="103"/>
  <c r="T83" i="103"/>
  <c r="AL83" i="103" s="1"/>
  <c r="BB82" i="103"/>
  <c r="AZ82" i="103"/>
  <c r="BD82" i="103" s="1"/>
  <c r="AX82" i="103"/>
  <c r="AP82" i="103"/>
  <c r="AN82" i="103"/>
  <c r="AL82" i="103"/>
  <c r="AJ82" i="103"/>
  <c r="X82" i="103"/>
  <c r="T82" i="103"/>
  <c r="BB81" i="103"/>
  <c r="AZ81" i="103"/>
  <c r="BD81" i="103" s="1"/>
  <c r="AX81" i="103"/>
  <c r="AN81" i="103"/>
  <c r="AL81" i="103"/>
  <c r="AJ81" i="103"/>
  <c r="AP81" i="103" s="1"/>
  <c r="T81" i="103"/>
  <c r="X81" i="103" s="1"/>
  <c r="BB80" i="103"/>
  <c r="AN80" i="103"/>
  <c r="AJ80" i="103"/>
  <c r="AX80" i="103" s="1"/>
  <c r="T80" i="103"/>
  <c r="BB79" i="103"/>
  <c r="AN79" i="103"/>
  <c r="AJ79" i="103"/>
  <c r="AX79" i="103" s="1"/>
  <c r="X79" i="103"/>
  <c r="T79" i="103"/>
  <c r="AL79" i="103" s="1"/>
  <c r="AN78" i="103"/>
  <c r="BB78" i="103" s="1"/>
  <c r="AJ78" i="103"/>
  <c r="X78" i="103"/>
  <c r="T78" i="103"/>
  <c r="AL78" i="103" s="1"/>
  <c r="AZ78" i="103" s="1"/>
  <c r="AN77" i="103"/>
  <c r="BB77" i="103" s="1"/>
  <c r="AJ77" i="103"/>
  <c r="T77" i="103"/>
  <c r="AL77" i="103" s="1"/>
  <c r="AZ77" i="103" s="1"/>
  <c r="AN76" i="103"/>
  <c r="BB76" i="103" s="1"/>
  <c r="AL76" i="103"/>
  <c r="AZ76" i="103" s="1"/>
  <c r="AJ76" i="103"/>
  <c r="T76" i="103"/>
  <c r="X76" i="103" s="1"/>
  <c r="AN75" i="103"/>
  <c r="BB75" i="103" s="1"/>
  <c r="AJ75" i="103"/>
  <c r="AX75" i="103" s="1"/>
  <c r="T75" i="103"/>
  <c r="AL75" i="103" s="1"/>
  <c r="AZ75" i="103" s="1"/>
  <c r="AN74" i="103"/>
  <c r="BB74" i="103" s="1"/>
  <c r="AL74" i="103"/>
  <c r="AZ74" i="103" s="1"/>
  <c r="AJ74" i="103"/>
  <c r="AX74" i="103" s="1"/>
  <c r="BD74" i="103" s="1"/>
  <c r="X74" i="103"/>
  <c r="T74" i="103"/>
  <c r="BB73" i="103"/>
  <c r="AZ73" i="103"/>
  <c r="AX73" i="103"/>
  <c r="AP73" i="103"/>
  <c r="AN73" i="103"/>
  <c r="AL73" i="103"/>
  <c r="AJ73" i="103"/>
  <c r="T73" i="103"/>
  <c r="X73" i="103" s="1"/>
  <c r="AX72" i="103"/>
  <c r="AN72" i="103"/>
  <c r="BB72" i="103" s="1"/>
  <c r="AL72" i="103"/>
  <c r="AZ72" i="103" s="1"/>
  <c r="AJ72" i="103"/>
  <c r="T72" i="103"/>
  <c r="X72" i="103" s="1"/>
  <c r="AZ71" i="103"/>
  <c r="AN71" i="103"/>
  <c r="BB71" i="103" s="1"/>
  <c r="AJ71" i="103"/>
  <c r="X71" i="103"/>
  <c r="T71" i="103"/>
  <c r="AL71" i="103" s="1"/>
  <c r="BB70" i="103"/>
  <c r="AN70" i="103"/>
  <c r="AL70" i="103"/>
  <c r="AZ70" i="103" s="1"/>
  <c r="AJ70" i="103"/>
  <c r="X70" i="103"/>
  <c r="T70" i="103"/>
  <c r="AN69" i="103"/>
  <c r="BB69" i="103" s="1"/>
  <c r="AJ69" i="103"/>
  <c r="T69" i="103"/>
  <c r="AN68" i="103"/>
  <c r="BB68" i="103" s="1"/>
  <c r="AJ68" i="103"/>
  <c r="AX68" i="103" s="1"/>
  <c r="T68" i="103"/>
  <c r="AL68" i="103" s="1"/>
  <c r="AN67" i="103"/>
  <c r="BB67" i="103" s="1"/>
  <c r="AJ67" i="103"/>
  <c r="T67" i="103"/>
  <c r="AL67" i="103" s="1"/>
  <c r="AZ67" i="103" s="1"/>
  <c r="AN66" i="103"/>
  <c r="BB66" i="103" s="1"/>
  <c r="AJ66" i="103"/>
  <c r="T66" i="103"/>
  <c r="AN65" i="103"/>
  <c r="BB65" i="103" s="1"/>
  <c r="AJ65" i="103"/>
  <c r="T65" i="103"/>
  <c r="AL65" i="103" s="1"/>
  <c r="AZ65" i="103" s="1"/>
  <c r="AN64" i="103"/>
  <c r="BB64" i="103" s="1"/>
  <c r="AJ64" i="103"/>
  <c r="T64" i="103"/>
  <c r="AL64" i="103" s="1"/>
  <c r="AZ64" i="103" s="1"/>
  <c r="AN63" i="103"/>
  <c r="BB63" i="103" s="1"/>
  <c r="AJ63" i="103"/>
  <c r="T63" i="103"/>
  <c r="AN62" i="103"/>
  <c r="BB62" i="103" s="1"/>
  <c r="AL62" i="103"/>
  <c r="AZ62" i="103" s="1"/>
  <c r="AJ62" i="103"/>
  <c r="X62" i="103"/>
  <c r="T62" i="103"/>
  <c r="AN61" i="103"/>
  <c r="BB61" i="103" s="1"/>
  <c r="AJ61" i="103"/>
  <c r="T61" i="103"/>
  <c r="X61" i="103" s="1"/>
  <c r="AX60" i="103"/>
  <c r="AN60" i="103"/>
  <c r="BB60" i="103" s="1"/>
  <c r="AL60" i="103"/>
  <c r="AJ60" i="103"/>
  <c r="X60" i="103"/>
  <c r="T60" i="103"/>
  <c r="AZ59" i="103"/>
  <c r="AN59" i="103"/>
  <c r="BB59" i="103" s="1"/>
  <c r="AJ59" i="103"/>
  <c r="X59" i="103"/>
  <c r="T59" i="103"/>
  <c r="AL59" i="103" s="1"/>
  <c r="BB58" i="103"/>
  <c r="AN58" i="103"/>
  <c r="AL58" i="103"/>
  <c r="AZ58" i="103" s="1"/>
  <c r="AJ58" i="103"/>
  <c r="X58" i="103"/>
  <c r="T58" i="103"/>
  <c r="AN57" i="103"/>
  <c r="BB57" i="103" s="1"/>
  <c r="AL57" i="103"/>
  <c r="AZ57" i="103" s="1"/>
  <c r="AJ57" i="103"/>
  <c r="X57" i="103"/>
  <c r="T57" i="103"/>
  <c r="AN56" i="103"/>
  <c r="BB56" i="103" s="1"/>
  <c r="AL56" i="103"/>
  <c r="AZ56" i="103" s="1"/>
  <c r="AJ56" i="103"/>
  <c r="X56" i="103"/>
  <c r="T56" i="103"/>
  <c r="AN55" i="103"/>
  <c r="BB55" i="103" s="1"/>
  <c r="AL55" i="103"/>
  <c r="AZ55" i="103" s="1"/>
  <c r="AJ55" i="103"/>
  <c r="X55" i="103"/>
  <c r="T55" i="103"/>
  <c r="AN54" i="103"/>
  <c r="BB54" i="103" s="1"/>
  <c r="AL54" i="103"/>
  <c r="AZ54" i="103" s="1"/>
  <c r="AJ54" i="103"/>
  <c r="X54" i="103"/>
  <c r="T54" i="103"/>
  <c r="AN53" i="103"/>
  <c r="BB53" i="103" s="1"/>
  <c r="AL53" i="103"/>
  <c r="AZ53" i="103" s="1"/>
  <c r="AJ53" i="103"/>
  <c r="X53" i="103"/>
  <c r="T53" i="103"/>
  <c r="AN52" i="103"/>
  <c r="BB52" i="103" s="1"/>
  <c r="AL52" i="103"/>
  <c r="AZ52" i="103" s="1"/>
  <c r="AJ52" i="103"/>
  <c r="X52" i="103"/>
  <c r="T52" i="103"/>
  <c r="AN51" i="103"/>
  <c r="BB51" i="103" s="1"/>
  <c r="AL51" i="103"/>
  <c r="AZ51" i="103" s="1"/>
  <c r="AJ51" i="103"/>
  <c r="X51" i="103"/>
  <c r="T51" i="103"/>
  <c r="AN50" i="103"/>
  <c r="BB50" i="103" s="1"/>
  <c r="AL50" i="103"/>
  <c r="AZ50" i="103" s="1"/>
  <c r="AJ50" i="103"/>
  <c r="X50" i="103"/>
  <c r="T50" i="103"/>
  <c r="AX49" i="103"/>
  <c r="AN49" i="103"/>
  <c r="BB49" i="103" s="1"/>
  <c r="AL49" i="103"/>
  <c r="AZ49" i="103" s="1"/>
  <c r="AJ49" i="103"/>
  <c r="T49" i="103"/>
  <c r="X49" i="103" s="1"/>
  <c r="AX48" i="103"/>
  <c r="BD48" i="103" s="1"/>
  <c r="AP48" i="103"/>
  <c r="AN48" i="103"/>
  <c r="BB48" i="103" s="1"/>
  <c r="AL48" i="103"/>
  <c r="AZ48" i="103" s="1"/>
  <c r="AJ48" i="103"/>
  <c r="T48" i="103"/>
  <c r="X48" i="103" s="1"/>
  <c r="AZ47" i="103"/>
  <c r="AX47" i="103"/>
  <c r="AP47" i="103"/>
  <c r="AN47" i="103"/>
  <c r="BB47" i="103" s="1"/>
  <c r="AJ47" i="103"/>
  <c r="T47" i="103"/>
  <c r="AL47" i="103" s="1"/>
  <c r="BB46" i="103"/>
  <c r="AX46" i="103"/>
  <c r="BD46" i="103" s="1"/>
  <c r="BF46" i="103" s="1"/>
  <c r="AN46" i="103"/>
  <c r="AJ46" i="103"/>
  <c r="X46" i="103"/>
  <c r="T46" i="103"/>
  <c r="AL46" i="103" s="1"/>
  <c r="AZ46" i="103" s="1"/>
  <c r="AX45" i="103"/>
  <c r="AN45" i="103"/>
  <c r="BB45" i="103" s="1"/>
  <c r="AJ45" i="103"/>
  <c r="X45" i="103"/>
  <c r="T45" i="103"/>
  <c r="AL45" i="103" s="1"/>
  <c r="AZ45" i="103" s="1"/>
  <c r="AZ44" i="103"/>
  <c r="BD44" i="103" s="1"/>
  <c r="AN44" i="103"/>
  <c r="BB44" i="103" s="1"/>
  <c r="AJ44" i="103"/>
  <c r="AX44" i="103" s="1"/>
  <c r="X44" i="103"/>
  <c r="T44" i="103"/>
  <c r="AL44" i="103" s="1"/>
  <c r="AP44" i="103" s="1"/>
  <c r="AX43" i="103"/>
  <c r="AN43" i="103"/>
  <c r="AJ43" i="103"/>
  <c r="X43" i="103"/>
  <c r="T43" i="103"/>
  <c r="AL43" i="103" s="1"/>
  <c r="A43" i="103"/>
  <c r="A44" i="103" s="1"/>
  <c r="BH42" i="103"/>
  <c r="AV42" i="103"/>
  <c r="AV14" i="103" s="1"/>
  <c r="AT42" i="103"/>
  <c r="AT14" i="103" s="1"/>
  <c r="AR42" i="103"/>
  <c r="AF42" i="103"/>
  <c r="AD42" i="103"/>
  <c r="AB42" i="103"/>
  <c r="V42" i="103"/>
  <c r="V14" i="103" s="1"/>
  <c r="T42" i="103"/>
  <c r="T14" i="103" s="1"/>
  <c r="T17" i="103" s="1"/>
  <c r="T23" i="103" s="1"/>
  <c r="R42" i="103"/>
  <c r="R14" i="103" s="1"/>
  <c r="N42" i="103"/>
  <c r="L42" i="103"/>
  <c r="J42" i="103"/>
  <c r="H42" i="103"/>
  <c r="AN39" i="103"/>
  <c r="BB39" i="103" s="1"/>
  <c r="AL39" i="103"/>
  <c r="AZ39" i="103" s="1"/>
  <c r="R39" i="103"/>
  <c r="AJ39" i="103" s="1"/>
  <c r="AX39" i="103" s="1"/>
  <c r="BD39" i="103" s="1"/>
  <c r="AN38" i="103"/>
  <c r="BB38" i="103" s="1"/>
  <c r="AL38" i="103"/>
  <c r="AZ38" i="103" s="1"/>
  <c r="R38" i="103"/>
  <c r="AJ38" i="103" s="1"/>
  <c r="AP37" i="103"/>
  <c r="AN37" i="103"/>
  <c r="BB37" i="103" s="1"/>
  <c r="AL37" i="103"/>
  <c r="AZ37" i="103" s="1"/>
  <c r="R37" i="103"/>
  <c r="AJ37" i="103" s="1"/>
  <c r="AX37" i="103" s="1"/>
  <c r="AN36" i="103"/>
  <c r="BB36" i="103" s="1"/>
  <c r="AL36" i="103"/>
  <c r="AZ36" i="103" s="1"/>
  <c r="R36" i="103"/>
  <c r="AJ36" i="103" s="1"/>
  <c r="AX35" i="103"/>
  <c r="AN35" i="103"/>
  <c r="AL35" i="103"/>
  <c r="AJ35" i="103"/>
  <c r="X35" i="103"/>
  <c r="R35" i="103"/>
  <c r="A35" i="103"/>
  <c r="A36" i="103" s="1"/>
  <c r="BH36" i="103" s="1"/>
  <c r="BH34" i="103"/>
  <c r="AV34" i="103"/>
  <c r="AV13" i="103" s="1"/>
  <c r="AT34" i="103"/>
  <c r="AT13" i="103" s="1"/>
  <c r="AR34" i="103"/>
  <c r="AF34" i="103"/>
  <c r="AD34" i="103"/>
  <c r="AB34" i="103"/>
  <c r="V34" i="103"/>
  <c r="T34" i="103"/>
  <c r="T13" i="103" s="1"/>
  <c r="R34" i="103"/>
  <c r="R13" i="103" s="1"/>
  <c r="X13" i="103" s="1"/>
  <c r="N34" i="103"/>
  <c r="N13" i="103" s="1"/>
  <c r="L34" i="103"/>
  <c r="J34" i="103"/>
  <c r="H34" i="103"/>
  <c r="AX31" i="103"/>
  <c r="AN31" i="103"/>
  <c r="BB31" i="103" s="1"/>
  <c r="AL31" i="103"/>
  <c r="AJ31" i="103"/>
  <c r="X31" i="103"/>
  <c r="AX30" i="103"/>
  <c r="AP30" i="103"/>
  <c r="AN30" i="103"/>
  <c r="BB30" i="103" s="1"/>
  <c r="AL30" i="103"/>
  <c r="AZ30" i="103" s="1"/>
  <c r="AJ30" i="103"/>
  <c r="X30" i="103"/>
  <c r="A30" i="103"/>
  <c r="A31" i="103" s="1"/>
  <c r="BH31" i="103" s="1"/>
  <c r="AN29" i="103"/>
  <c r="BB29" i="103" s="1"/>
  <c r="BB26" i="103" s="1"/>
  <c r="BB12" i="103" s="1"/>
  <c r="AL29" i="103"/>
  <c r="AZ29" i="103" s="1"/>
  <c r="R29" i="103"/>
  <c r="AJ29" i="103" s="1"/>
  <c r="A29" i="103"/>
  <c r="BH29" i="103" s="1"/>
  <c r="AZ28" i="103"/>
  <c r="AN28" i="103"/>
  <c r="BB28" i="103" s="1"/>
  <c r="AL28" i="103"/>
  <c r="X28" i="103"/>
  <c r="R28" i="103"/>
  <c r="AJ28" i="103" s="1"/>
  <c r="AX28" i="103" s="1"/>
  <c r="BD28" i="103" s="1"/>
  <c r="BF28" i="103" s="1"/>
  <c r="A28" i="103"/>
  <c r="BH28" i="103" s="1"/>
  <c r="BB27" i="103"/>
  <c r="AZ27" i="103"/>
  <c r="AX27" i="103"/>
  <c r="BD27" i="103" s="1"/>
  <c r="AP27" i="103"/>
  <c r="AN27" i="103"/>
  <c r="AL27" i="103"/>
  <c r="AJ27" i="103"/>
  <c r="X27" i="103"/>
  <c r="R27" i="103"/>
  <c r="A27" i="103"/>
  <c r="BH27" i="103" s="1"/>
  <c r="BH26" i="103"/>
  <c r="AV26" i="103"/>
  <c r="AT26" i="103"/>
  <c r="AR26" i="103"/>
  <c r="AR12" i="103" s="1"/>
  <c r="AR17" i="103" s="1"/>
  <c r="AF26" i="103"/>
  <c r="AD26" i="103"/>
  <c r="AB26" i="103"/>
  <c r="AB12" i="103" s="1"/>
  <c r="V26" i="103"/>
  <c r="V12" i="103" s="1"/>
  <c r="T26" i="103"/>
  <c r="N26" i="103"/>
  <c r="N12" i="103" s="1"/>
  <c r="N17" i="103" s="1"/>
  <c r="N23" i="103" s="1"/>
  <c r="L26" i="103"/>
  <c r="J26" i="103"/>
  <c r="H26" i="103"/>
  <c r="BD22" i="103"/>
  <c r="AP22" i="103"/>
  <c r="AN22" i="103"/>
  <c r="X22" i="103"/>
  <c r="R22" i="103"/>
  <c r="H22" i="103"/>
  <c r="BD21" i="103"/>
  <c r="AN21" i="103"/>
  <c r="AP21" i="103" s="1"/>
  <c r="X21" i="103"/>
  <c r="R21" i="103"/>
  <c r="H21" i="103"/>
  <c r="BB20" i="103"/>
  <c r="AV20" i="103"/>
  <c r="AT20" i="103"/>
  <c r="AR20" i="103"/>
  <c r="AN20" i="103"/>
  <c r="AF20" i="103"/>
  <c r="AD20" i="103"/>
  <c r="V20" i="103"/>
  <c r="R20" i="103"/>
  <c r="X20" i="103" s="1"/>
  <c r="N20" i="103"/>
  <c r="L20" i="103"/>
  <c r="J20" i="103"/>
  <c r="H20" i="103"/>
  <c r="AV17" i="103"/>
  <c r="AV23" i="103" s="1"/>
  <c r="AT17" i="103"/>
  <c r="AT23" i="103" s="1"/>
  <c r="AV16" i="103"/>
  <c r="AT16" i="103"/>
  <c r="AR16" i="103"/>
  <c r="AF16" i="103"/>
  <c r="AD16" i="103"/>
  <c r="AB16" i="103"/>
  <c r="V16" i="103"/>
  <c r="T16" i="103"/>
  <c r="R16" i="103"/>
  <c r="N16" i="103"/>
  <c r="L16" i="103"/>
  <c r="J16" i="103"/>
  <c r="H16" i="103"/>
  <c r="AV15" i="103"/>
  <c r="AT15" i="103"/>
  <c r="AR15" i="103"/>
  <c r="AL15" i="103"/>
  <c r="AJ15" i="103"/>
  <c r="AF15" i="103"/>
  <c r="AD15" i="103"/>
  <c r="AB15" i="103"/>
  <c r="T15" i="103"/>
  <c r="R15" i="103"/>
  <c r="N15" i="103"/>
  <c r="J15" i="103"/>
  <c r="H15" i="103"/>
  <c r="AR14" i="103"/>
  <c r="AF14" i="103"/>
  <c r="AD14" i="103"/>
  <c r="AB14" i="103"/>
  <c r="N14" i="103"/>
  <c r="L14" i="103"/>
  <c r="J14" i="103"/>
  <c r="H14" i="103"/>
  <c r="AR13" i="103"/>
  <c r="AF13" i="103"/>
  <c r="AD13" i="103"/>
  <c r="AB13" i="103"/>
  <c r="V13" i="103"/>
  <c r="L13" i="103"/>
  <c r="J13" i="103"/>
  <c r="H13" i="103"/>
  <c r="A13" i="103"/>
  <c r="A14" i="103" s="1"/>
  <c r="BH12" i="103"/>
  <c r="AV12" i="103"/>
  <c r="AT12" i="103"/>
  <c r="AF12" i="103"/>
  <c r="AF17" i="103" s="1"/>
  <c r="AF23" i="103" s="1"/>
  <c r="AD12" i="103"/>
  <c r="AD17" i="103" s="1"/>
  <c r="AD23" i="103" s="1"/>
  <c r="T12" i="103"/>
  <c r="L12" i="103"/>
  <c r="L17" i="103" s="1"/>
  <c r="L23" i="103" s="1"/>
  <c r="J12" i="103"/>
  <c r="J17" i="103" s="1"/>
  <c r="J23" i="103" s="1"/>
  <c r="H12" i="103"/>
  <c r="H17" i="103" s="1"/>
  <c r="H23" i="103" s="1"/>
  <c r="BF9" i="103"/>
  <c r="G66" i="83"/>
  <c r="G65" i="83"/>
  <c r="G64" i="83"/>
  <c r="G63" i="83" s="1"/>
  <c r="H55" i="83"/>
  <c r="K54" i="83"/>
  <c r="K47" i="83"/>
  <c r="A47" i="83"/>
  <c r="A48" i="83" s="1"/>
  <c r="A55" i="83" s="1"/>
  <c r="K46" i="83"/>
  <c r="E34" i="83"/>
  <c r="D34" i="83"/>
  <c r="C34" i="83"/>
  <c r="K33" i="83"/>
  <c r="E27" i="83"/>
  <c r="A27" i="83"/>
  <c r="E26" i="83"/>
  <c r="A26" i="83"/>
  <c r="K26" i="83" s="1"/>
  <c r="K25" i="83"/>
  <c r="E25" i="83"/>
  <c r="K24" i="83"/>
  <c r="A49" i="82"/>
  <c r="F50" i="82" s="1"/>
  <c r="G48" i="82"/>
  <c r="A40" i="82"/>
  <c r="G39" i="82"/>
  <c r="F34" i="82"/>
  <c r="E34" i="82"/>
  <c r="A34" i="82"/>
  <c r="G34" i="82" s="1"/>
  <c r="G32" i="82"/>
  <c r="A27" i="82"/>
  <c r="G27" i="82" s="1"/>
  <c r="G25" i="82"/>
  <c r="F25" i="82"/>
  <c r="A25" i="82"/>
  <c r="F27" i="82" s="1"/>
  <c r="G24" i="82"/>
  <c r="A24" i="82"/>
  <c r="G23" i="82"/>
  <c r="E23" i="82"/>
  <c r="D23" i="82"/>
  <c r="E13" i="82"/>
  <c r="D13" i="82"/>
  <c r="A12" i="82"/>
  <c r="G11" i="82"/>
  <c r="G10" i="82"/>
  <c r="G6" i="82"/>
  <c r="A6" i="82"/>
  <c r="G5" i="82"/>
  <c r="G4" i="82"/>
  <c r="C20" i="81"/>
  <c r="C17" i="81"/>
  <c r="C13" i="81"/>
  <c r="F11" i="81"/>
  <c r="C7" i="81"/>
  <c r="A7" i="81"/>
  <c r="A8" i="81" s="1"/>
  <c r="F6" i="81"/>
  <c r="F5" i="81"/>
  <c r="B169" i="80"/>
  <c r="B170" i="80" s="1"/>
  <c r="B171" i="80" s="1"/>
  <c r="B172" i="80" s="1"/>
  <c r="B173" i="80" s="1"/>
  <c r="B174" i="80" s="1"/>
  <c r="B175" i="80" s="1"/>
  <c r="B176" i="80" s="1"/>
  <c r="B177" i="80" s="1"/>
  <c r="B178" i="80" s="1"/>
  <c r="B179" i="80" s="1"/>
  <c r="B180" i="80" s="1"/>
  <c r="B181" i="80" s="1"/>
  <c r="B182" i="80" s="1"/>
  <c r="B183" i="80" s="1"/>
  <c r="N167" i="80"/>
  <c r="I160" i="80"/>
  <c r="B160" i="80"/>
  <c r="I159" i="80"/>
  <c r="B159" i="80"/>
  <c r="I158" i="80"/>
  <c r="B158" i="80"/>
  <c r="I157" i="80"/>
  <c r="B157" i="80"/>
  <c r="I156" i="80"/>
  <c r="B156" i="80"/>
  <c r="I155" i="80"/>
  <c r="B155" i="80"/>
  <c r="I154" i="80"/>
  <c r="B154" i="80"/>
  <c r="I153" i="80"/>
  <c r="B153" i="80"/>
  <c r="I152" i="80"/>
  <c r="B152" i="80"/>
  <c r="I151" i="80"/>
  <c r="B151" i="80"/>
  <c r="I150" i="80"/>
  <c r="B150" i="80"/>
  <c r="I149" i="80"/>
  <c r="B149" i="80"/>
  <c r="I143" i="80"/>
  <c r="I142" i="80"/>
  <c r="I141" i="80"/>
  <c r="I140" i="80"/>
  <c r="I139" i="80"/>
  <c r="I138" i="80"/>
  <c r="I137" i="80"/>
  <c r="I136" i="80"/>
  <c r="I135" i="80"/>
  <c r="I134" i="80"/>
  <c r="N133" i="80"/>
  <c r="I133" i="80"/>
  <c r="A133" i="80"/>
  <c r="A134" i="80" s="1"/>
  <c r="N132" i="80"/>
  <c r="I132" i="80"/>
  <c r="I144" i="80" s="1"/>
  <c r="B132" i="80"/>
  <c r="B133" i="80" s="1"/>
  <c r="B134" i="80" s="1"/>
  <c r="B135" i="80" s="1"/>
  <c r="B136" i="80" s="1"/>
  <c r="B137" i="80" s="1"/>
  <c r="B138" i="80" s="1"/>
  <c r="B139" i="80" s="1"/>
  <c r="B140" i="80" s="1"/>
  <c r="B141" i="80" s="1"/>
  <c r="B142" i="80" s="1"/>
  <c r="B143" i="80" s="1"/>
  <c r="G128" i="80"/>
  <c r="F128" i="80"/>
  <c r="G121" i="80"/>
  <c r="G120" i="80" s="1"/>
  <c r="N112" i="80"/>
  <c r="A112" i="80"/>
  <c r="A113" i="80" s="1"/>
  <c r="A111" i="80"/>
  <c r="N111" i="80" s="1"/>
  <c r="N110" i="80"/>
  <c r="J110" i="80"/>
  <c r="H110" i="80"/>
  <c r="K146" i="80" s="1"/>
  <c r="E110" i="80"/>
  <c r="N109" i="80"/>
  <c r="I97" i="80"/>
  <c r="H97" i="80"/>
  <c r="G97" i="80"/>
  <c r="F97" i="80"/>
  <c r="E97" i="80"/>
  <c r="D95" i="80"/>
  <c r="D94" i="80"/>
  <c r="A94" i="80"/>
  <c r="A95" i="80" s="1"/>
  <c r="N93" i="80"/>
  <c r="D93" i="80"/>
  <c r="D97" i="80" s="1"/>
  <c r="N91" i="80"/>
  <c r="F83" i="80"/>
  <c r="I81" i="80"/>
  <c r="H81" i="80"/>
  <c r="G81" i="80"/>
  <c r="F81" i="80"/>
  <c r="E81" i="80"/>
  <c r="N79" i="80"/>
  <c r="D78" i="80"/>
  <c r="N77" i="80"/>
  <c r="D77" i="80"/>
  <c r="D81" i="80" s="1"/>
  <c r="A77" i="80"/>
  <c r="A78" i="80" s="1"/>
  <c r="A79" i="80" s="1"/>
  <c r="A81" i="80" s="1"/>
  <c r="N76" i="80"/>
  <c r="D76" i="80"/>
  <c r="N74" i="80"/>
  <c r="D69" i="80"/>
  <c r="I62" i="80"/>
  <c r="H62" i="80"/>
  <c r="G62" i="80"/>
  <c r="F62" i="80"/>
  <c r="E62" i="80"/>
  <c r="D62" i="80"/>
  <c r="D60" i="80"/>
  <c r="D59" i="80"/>
  <c r="D58" i="80"/>
  <c r="D57" i="80"/>
  <c r="D56" i="80"/>
  <c r="N55" i="80"/>
  <c r="D55" i="80"/>
  <c r="A55" i="80"/>
  <c r="A56" i="80" s="1"/>
  <c r="N54" i="80"/>
  <c r="D54" i="80"/>
  <c r="N53" i="80"/>
  <c r="I43" i="80"/>
  <c r="H43" i="80"/>
  <c r="G43" i="80"/>
  <c r="F43" i="80"/>
  <c r="F45" i="80" s="1"/>
  <c r="E43" i="80"/>
  <c r="D41" i="80"/>
  <c r="D40" i="80"/>
  <c r="D39" i="80"/>
  <c r="D38" i="80"/>
  <c r="D37" i="80"/>
  <c r="D36" i="80"/>
  <c r="D35" i="80"/>
  <c r="D34" i="80"/>
  <c r="D33" i="80"/>
  <c r="A33" i="80"/>
  <c r="N32" i="80"/>
  <c r="D32" i="80"/>
  <c r="N30" i="80"/>
  <c r="A12" i="80"/>
  <c r="E13" i="80" s="1"/>
  <c r="N11" i="80"/>
  <c r="A11" i="80"/>
  <c r="N10" i="80"/>
  <c r="A10" i="80"/>
  <c r="N9" i="80"/>
  <c r="N8" i="80"/>
  <c r="I59" i="79"/>
  <c r="H59" i="79"/>
  <c r="G59" i="79"/>
  <c r="F59" i="79"/>
  <c r="E59" i="79"/>
  <c r="D59" i="79"/>
  <c r="I56" i="79"/>
  <c r="H56" i="79"/>
  <c r="G56" i="79"/>
  <c r="E56" i="79"/>
  <c r="D56" i="79"/>
  <c r="F49" i="79"/>
  <c r="F48" i="79"/>
  <c r="F47" i="79"/>
  <c r="F46" i="79"/>
  <c r="F45" i="79"/>
  <c r="F44" i="79"/>
  <c r="F43" i="79"/>
  <c r="F42" i="79"/>
  <c r="F41" i="79"/>
  <c r="F40" i="79"/>
  <c r="F39" i="79"/>
  <c r="F38" i="79"/>
  <c r="A38" i="79"/>
  <c r="J37" i="79"/>
  <c r="F37" i="79"/>
  <c r="J36" i="79"/>
  <c r="E26" i="79"/>
  <c r="D26" i="79"/>
  <c r="A14" i="79"/>
  <c r="J13" i="79"/>
  <c r="J12" i="79"/>
  <c r="A30" i="78"/>
  <c r="A31" i="78" s="1"/>
  <c r="Q31" i="78" s="1"/>
  <c r="Q29" i="78"/>
  <c r="A29" i="78"/>
  <c r="Q28" i="78"/>
  <c r="Q27" i="78"/>
  <c r="D19" i="78"/>
  <c r="B19" i="78"/>
  <c r="D18" i="78"/>
  <c r="B18" i="78"/>
  <c r="D17" i="78"/>
  <c r="B17" i="78"/>
  <c r="D16" i="78"/>
  <c r="B16" i="78"/>
  <c r="D15" i="78"/>
  <c r="B15" i="78"/>
  <c r="D14" i="78"/>
  <c r="B14" i="78"/>
  <c r="D13" i="78"/>
  <c r="B13" i="78"/>
  <c r="I12" i="78"/>
  <c r="D12" i="78"/>
  <c r="B12" i="78"/>
  <c r="D11" i="78"/>
  <c r="B11" i="78"/>
  <c r="A11" i="78"/>
  <c r="Q10" i="78"/>
  <c r="D10" i="78"/>
  <c r="B10" i="78"/>
  <c r="Q9" i="78"/>
  <c r="P1" i="78"/>
  <c r="A130" i="77"/>
  <c r="A131" i="77" s="1"/>
  <c r="Q131" i="77" s="1"/>
  <c r="Q129" i="77"/>
  <c r="Q128" i="77"/>
  <c r="A113" i="77"/>
  <c r="Q112" i="77"/>
  <c r="A112" i="77"/>
  <c r="A111" i="77"/>
  <c r="Q111" i="77" s="1"/>
  <c r="Q110" i="77"/>
  <c r="Q108" i="77"/>
  <c r="F98" i="77"/>
  <c r="E98" i="77"/>
  <c r="Q97" i="77"/>
  <c r="A79" i="77"/>
  <c r="Q78" i="77"/>
  <c r="A77" i="77"/>
  <c r="A78" i="77" s="1"/>
  <c r="Q76" i="77"/>
  <c r="Q75" i="77"/>
  <c r="Q61" i="77"/>
  <c r="Q60" i="77"/>
  <c r="Q51" i="77"/>
  <c r="Q50" i="77"/>
  <c r="Q38" i="77"/>
  <c r="Q37" i="77"/>
  <c r="Q25" i="77"/>
  <c r="C25" i="77"/>
  <c r="Q24" i="77"/>
  <c r="N15" i="77"/>
  <c r="M15" i="77"/>
  <c r="L15" i="77"/>
  <c r="K15" i="77"/>
  <c r="J15" i="77"/>
  <c r="I15" i="77"/>
  <c r="H15" i="77"/>
  <c r="G15" i="77"/>
  <c r="F15" i="77"/>
  <c r="E15" i="77"/>
  <c r="D15" i="77"/>
  <c r="C15" i="77"/>
  <c r="O14" i="77"/>
  <c r="A14" i="77"/>
  <c r="A15" i="77" s="1"/>
  <c r="Q15" i="77" s="1"/>
  <c r="Q13" i="77"/>
  <c r="O13" i="77"/>
  <c r="Q12" i="77"/>
  <c r="R129" i="76"/>
  <c r="A129" i="76"/>
  <c r="A128" i="76"/>
  <c r="R128" i="76" s="1"/>
  <c r="R127" i="76"/>
  <c r="R126" i="76"/>
  <c r="D117" i="76"/>
  <c r="A117" i="76"/>
  <c r="R117" i="76" s="1"/>
  <c r="R116" i="76"/>
  <c r="A116" i="76"/>
  <c r="R115" i="76"/>
  <c r="R114" i="76"/>
  <c r="D103" i="76"/>
  <c r="A102" i="76"/>
  <c r="R101" i="76"/>
  <c r="R100" i="76"/>
  <c r="F89" i="76"/>
  <c r="E89" i="76"/>
  <c r="D89" i="76"/>
  <c r="A89" i="76"/>
  <c r="R89" i="76" s="1"/>
  <c r="R88" i="76"/>
  <c r="D88" i="76"/>
  <c r="A88" i="76"/>
  <c r="R87" i="76"/>
  <c r="D87" i="76"/>
  <c r="R86" i="76"/>
  <c r="O77" i="76"/>
  <c r="N77" i="76"/>
  <c r="M77" i="76"/>
  <c r="L77" i="76"/>
  <c r="K77" i="76"/>
  <c r="J77" i="76"/>
  <c r="I77" i="76"/>
  <c r="H77" i="76"/>
  <c r="G77" i="76"/>
  <c r="F77" i="76"/>
  <c r="E77" i="76"/>
  <c r="D77" i="76"/>
  <c r="P76" i="76"/>
  <c r="E23" i="92" s="1"/>
  <c r="P75" i="76"/>
  <c r="P74" i="76"/>
  <c r="P73" i="76"/>
  <c r="P72" i="76"/>
  <c r="P71" i="76"/>
  <c r="P70" i="76"/>
  <c r="P69" i="76"/>
  <c r="P68" i="76"/>
  <c r="P67" i="76"/>
  <c r="P66" i="76"/>
  <c r="P65" i="76"/>
  <c r="A65" i="76"/>
  <c r="R64" i="76"/>
  <c r="P64" i="76"/>
  <c r="R63" i="76"/>
  <c r="O52" i="76"/>
  <c r="N52" i="76"/>
  <c r="M52" i="76"/>
  <c r="L52" i="76"/>
  <c r="K52" i="76"/>
  <c r="J52" i="76"/>
  <c r="I52" i="76"/>
  <c r="H52" i="76"/>
  <c r="G52" i="76"/>
  <c r="F52" i="76"/>
  <c r="E52" i="76"/>
  <c r="D52" i="76"/>
  <c r="P51" i="76"/>
  <c r="D23" i="92" s="1"/>
  <c r="P50" i="76"/>
  <c r="P49" i="76"/>
  <c r="P48" i="76"/>
  <c r="P47" i="76"/>
  <c r="P46" i="76"/>
  <c r="P45" i="76"/>
  <c r="P44" i="76"/>
  <c r="P43" i="76"/>
  <c r="P42" i="76"/>
  <c r="R41" i="76"/>
  <c r="P41" i="76"/>
  <c r="R40" i="76"/>
  <c r="P40" i="76"/>
  <c r="A40" i="76"/>
  <c r="A41" i="76" s="1"/>
  <c r="A42" i="76" s="1"/>
  <c r="R39" i="76"/>
  <c r="P39" i="76"/>
  <c r="R38" i="76"/>
  <c r="O26" i="76"/>
  <c r="I19" i="78" s="1"/>
  <c r="N26" i="76"/>
  <c r="I18" i="78" s="1"/>
  <c r="M26" i="76"/>
  <c r="I17" i="78" s="1"/>
  <c r="L26" i="76"/>
  <c r="I16" i="78" s="1"/>
  <c r="K26" i="76"/>
  <c r="I15" i="78" s="1"/>
  <c r="J26" i="76"/>
  <c r="I14" i="78" s="1"/>
  <c r="I26" i="76"/>
  <c r="I13" i="78" s="1"/>
  <c r="H26" i="76"/>
  <c r="G26" i="76"/>
  <c r="I11" i="78" s="1"/>
  <c r="F26" i="76"/>
  <c r="I10" i="78" s="1"/>
  <c r="E26" i="76"/>
  <c r="D26" i="76"/>
  <c r="P26" i="76" s="1"/>
  <c r="O25" i="76"/>
  <c r="N25" i="76"/>
  <c r="M25" i="76"/>
  <c r="L25" i="76"/>
  <c r="K25" i="76"/>
  <c r="J25" i="76"/>
  <c r="I25" i="76"/>
  <c r="H25" i="76"/>
  <c r="G25" i="76"/>
  <c r="F25" i="76"/>
  <c r="E25" i="76"/>
  <c r="D25" i="76"/>
  <c r="P25" i="76" s="1"/>
  <c r="O24" i="76"/>
  <c r="N24" i="76"/>
  <c r="M24" i="76"/>
  <c r="L24" i="76"/>
  <c r="K24" i="76"/>
  <c r="J24" i="76"/>
  <c r="I24" i="76"/>
  <c r="H24" i="76"/>
  <c r="G24" i="76"/>
  <c r="F24" i="76"/>
  <c r="E24" i="76"/>
  <c r="D24" i="76"/>
  <c r="P24" i="76" s="1"/>
  <c r="O23" i="76"/>
  <c r="N23" i="76"/>
  <c r="M23" i="76"/>
  <c r="L23" i="76"/>
  <c r="K23" i="76"/>
  <c r="K27" i="76" s="1"/>
  <c r="J23" i="76"/>
  <c r="I23" i="76"/>
  <c r="H23" i="76"/>
  <c r="G23" i="76"/>
  <c r="F23" i="76"/>
  <c r="E23" i="76"/>
  <c r="D23" i="76"/>
  <c r="P23" i="76" s="1"/>
  <c r="O22" i="76"/>
  <c r="N22" i="76"/>
  <c r="M22" i="76"/>
  <c r="L22" i="76"/>
  <c r="K22" i="76"/>
  <c r="J22" i="76"/>
  <c r="I22" i="76"/>
  <c r="H22" i="76"/>
  <c r="G22" i="76"/>
  <c r="F22" i="76"/>
  <c r="E22" i="76"/>
  <c r="D22" i="76"/>
  <c r="P22" i="76" s="1"/>
  <c r="O21" i="76"/>
  <c r="N21" i="76"/>
  <c r="M21" i="76"/>
  <c r="L21" i="76"/>
  <c r="K21" i="76"/>
  <c r="J21" i="76"/>
  <c r="I21" i="76"/>
  <c r="H21" i="76"/>
  <c r="G21" i="76"/>
  <c r="F21" i="76"/>
  <c r="E21" i="76"/>
  <c r="D21" i="76"/>
  <c r="P21" i="76" s="1"/>
  <c r="O20" i="76"/>
  <c r="N20" i="76"/>
  <c r="M20" i="76"/>
  <c r="L20" i="76"/>
  <c r="K20" i="76"/>
  <c r="J20" i="76"/>
  <c r="I20" i="76"/>
  <c r="H20" i="76"/>
  <c r="G20" i="76"/>
  <c r="F20" i="76"/>
  <c r="E20" i="76"/>
  <c r="D20" i="76"/>
  <c r="P20" i="76" s="1"/>
  <c r="O19" i="76"/>
  <c r="N19" i="76"/>
  <c r="M19" i="76"/>
  <c r="L19" i="76"/>
  <c r="K19" i="76"/>
  <c r="J19" i="76"/>
  <c r="I19" i="76"/>
  <c r="H19" i="76"/>
  <c r="G19" i="76"/>
  <c r="F19" i="76"/>
  <c r="E19" i="76"/>
  <c r="D19" i="76"/>
  <c r="P19" i="76" s="1"/>
  <c r="O18" i="76"/>
  <c r="N18" i="76"/>
  <c r="M18" i="76"/>
  <c r="L18" i="76"/>
  <c r="K18" i="76"/>
  <c r="J18" i="76"/>
  <c r="I18" i="76"/>
  <c r="H18" i="76"/>
  <c r="G18" i="76"/>
  <c r="F18" i="76"/>
  <c r="E18" i="76"/>
  <c r="D18" i="76"/>
  <c r="P18" i="76" s="1"/>
  <c r="O17" i="76"/>
  <c r="N17" i="76"/>
  <c r="M17" i="76"/>
  <c r="L17" i="76"/>
  <c r="K17" i="76"/>
  <c r="J17" i="76"/>
  <c r="I17" i="76"/>
  <c r="H17" i="76"/>
  <c r="G17" i="76"/>
  <c r="F17" i="76"/>
  <c r="E17" i="76"/>
  <c r="D17" i="76"/>
  <c r="P17" i="76" s="1"/>
  <c r="O16" i="76"/>
  <c r="N16" i="76"/>
  <c r="M16" i="76"/>
  <c r="L16" i="76"/>
  <c r="K16" i="76"/>
  <c r="J16" i="76"/>
  <c r="I16" i="76"/>
  <c r="H16" i="76"/>
  <c r="G16" i="76"/>
  <c r="F16" i="76"/>
  <c r="E16" i="76"/>
  <c r="D16" i="76"/>
  <c r="P16" i="76" s="1"/>
  <c r="A16" i="76"/>
  <c r="A17" i="76" s="1"/>
  <c r="R15" i="76"/>
  <c r="Q15" i="76"/>
  <c r="O15" i="76"/>
  <c r="O27" i="76" s="1"/>
  <c r="N15" i="76"/>
  <c r="M15" i="76"/>
  <c r="L15" i="76"/>
  <c r="K15" i="76"/>
  <c r="J15" i="76"/>
  <c r="I15" i="76"/>
  <c r="H15" i="76"/>
  <c r="G15" i="76"/>
  <c r="F15" i="76"/>
  <c r="E15" i="76"/>
  <c r="D15" i="76"/>
  <c r="P15" i="76" s="1"/>
  <c r="A15" i="76"/>
  <c r="R14" i="76"/>
  <c r="Q14" i="76"/>
  <c r="O14" i="76"/>
  <c r="N14" i="76"/>
  <c r="M14" i="76"/>
  <c r="L14" i="76"/>
  <c r="K14" i="76"/>
  <c r="J14" i="76"/>
  <c r="I14" i="76"/>
  <c r="H14" i="76"/>
  <c r="H27" i="76" s="1"/>
  <c r="G14" i="76"/>
  <c r="F14" i="76"/>
  <c r="E14" i="76"/>
  <c r="E27" i="76" s="1"/>
  <c r="D14" i="76"/>
  <c r="D27" i="76" s="1"/>
  <c r="R13" i="76"/>
  <c r="C111" i="75"/>
  <c r="B111" i="75"/>
  <c r="C110" i="75"/>
  <c r="B110" i="75"/>
  <c r="C109" i="75"/>
  <c r="B109" i="75"/>
  <c r="C108" i="75"/>
  <c r="B108" i="75"/>
  <c r="C107" i="75"/>
  <c r="B107" i="75"/>
  <c r="C106" i="75"/>
  <c r="B106" i="75"/>
  <c r="C105" i="75"/>
  <c r="B105" i="75"/>
  <c r="C104" i="75"/>
  <c r="B104" i="75"/>
  <c r="C103" i="75"/>
  <c r="B103" i="75"/>
  <c r="C102" i="75"/>
  <c r="B102" i="75"/>
  <c r="C101" i="75"/>
  <c r="B101" i="75"/>
  <c r="C100" i="75"/>
  <c r="B100" i="75"/>
  <c r="B99" i="75"/>
  <c r="B98" i="75"/>
  <c r="B97" i="75"/>
  <c r="B96" i="75"/>
  <c r="B95" i="75"/>
  <c r="B94" i="75"/>
  <c r="B93" i="75"/>
  <c r="B92" i="75"/>
  <c r="B91" i="75"/>
  <c r="A91" i="75"/>
  <c r="A92" i="75" s="1"/>
  <c r="J90" i="75"/>
  <c r="B90" i="75"/>
  <c r="A90" i="75"/>
  <c r="J89" i="75"/>
  <c r="E89" i="75"/>
  <c r="E90" i="75" s="1"/>
  <c r="B89" i="75"/>
  <c r="A89" i="75"/>
  <c r="J88" i="75"/>
  <c r="E88" i="75"/>
  <c r="B88" i="75"/>
  <c r="J87" i="75"/>
  <c r="C87" i="75"/>
  <c r="B87" i="75"/>
  <c r="B86" i="75"/>
  <c r="C75" i="75"/>
  <c r="C74" i="75"/>
  <c r="C73" i="75"/>
  <c r="C72" i="75"/>
  <c r="C71" i="75"/>
  <c r="C70" i="75"/>
  <c r="C69" i="75"/>
  <c r="C68" i="75"/>
  <c r="C67" i="75"/>
  <c r="C66" i="75"/>
  <c r="C65" i="75"/>
  <c r="C64" i="75"/>
  <c r="E53" i="75"/>
  <c r="E54" i="75" s="1"/>
  <c r="A53" i="75"/>
  <c r="A54" i="75" s="1"/>
  <c r="J52" i="75"/>
  <c r="E52" i="75"/>
  <c r="J51" i="75"/>
  <c r="C51" i="75"/>
  <c r="B51" i="75"/>
  <c r="B50" i="75"/>
  <c r="G38" i="75"/>
  <c r="D38" i="75"/>
  <c r="D160" i="80" s="1"/>
  <c r="F160" i="80" s="1"/>
  <c r="C38" i="75"/>
  <c r="B38" i="75"/>
  <c r="G37" i="75"/>
  <c r="D37" i="75"/>
  <c r="D159" i="80" s="1"/>
  <c r="F159" i="80" s="1"/>
  <c r="C37" i="75"/>
  <c r="B37" i="75"/>
  <c r="G36" i="75"/>
  <c r="D36" i="75"/>
  <c r="D158" i="80" s="1"/>
  <c r="F158" i="80" s="1"/>
  <c r="C36" i="75"/>
  <c r="B36" i="75"/>
  <c r="G35" i="75"/>
  <c r="D35" i="75"/>
  <c r="D157" i="80" s="1"/>
  <c r="F157" i="80" s="1"/>
  <c r="C35" i="75"/>
  <c r="B35" i="75"/>
  <c r="G34" i="75"/>
  <c r="D34" i="75"/>
  <c r="D156" i="80" s="1"/>
  <c r="F156" i="80" s="1"/>
  <c r="C34" i="75"/>
  <c r="B34" i="75"/>
  <c r="G33" i="75"/>
  <c r="D33" i="75"/>
  <c r="D155" i="80" s="1"/>
  <c r="F155" i="80" s="1"/>
  <c r="C33" i="75"/>
  <c r="B33" i="75"/>
  <c r="G32" i="75"/>
  <c r="D32" i="75"/>
  <c r="D154" i="80" s="1"/>
  <c r="F154" i="80" s="1"/>
  <c r="C32" i="75"/>
  <c r="B32" i="75"/>
  <c r="G31" i="75"/>
  <c r="D31" i="75"/>
  <c r="D153" i="80" s="1"/>
  <c r="F153" i="80" s="1"/>
  <c r="C31" i="75"/>
  <c r="B31" i="75"/>
  <c r="G30" i="75"/>
  <c r="D30" i="75"/>
  <c r="D152" i="80" s="1"/>
  <c r="F152" i="80" s="1"/>
  <c r="C30" i="75"/>
  <c r="B30" i="75"/>
  <c r="G29" i="75"/>
  <c r="D29" i="75"/>
  <c r="D151" i="80" s="1"/>
  <c r="F151" i="80" s="1"/>
  <c r="C29" i="75"/>
  <c r="B29" i="75"/>
  <c r="G28" i="75"/>
  <c r="D28" i="75"/>
  <c r="D150" i="80" s="1"/>
  <c r="F150" i="80" s="1"/>
  <c r="C28" i="75"/>
  <c r="B28" i="75"/>
  <c r="G27" i="75"/>
  <c r="D27" i="75"/>
  <c r="D149" i="80" s="1"/>
  <c r="C27" i="75"/>
  <c r="B27" i="75"/>
  <c r="G26" i="75"/>
  <c r="D26" i="75"/>
  <c r="D143" i="80" s="1"/>
  <c r="F143" i="80" s="1"/>
  <c r="B26" i="75"/>
  <c r="G25" i="75"/>
  <c r="D25" i="75"/>
  <c r="D142" i="80" s="1"/>
  <c r="B25" i="75"/>
  <c r="G24" i="75"/>
  <c r="D24" i="75"/>
  <c r="D141" i="80" s="1"/>
  <c r="B24" i="75"/>
  <c r="G23" i="75"/>
  <c r="D23" i="75"/>
  <c r="D140" i="80" s="1"/>
  <c r="B23" i="75"/>
  <c r="G22" i="75"/>
  <c r="D22" i="75"/>
  <c r="D139" i="80" s="1"/>
  <c r="B22" i="75"/>
  <c r="G21" i="75"/>
  <c r="D21" i="75"/>
  <c r="D138" i="80" s="1"/>
  <c r="B21" i="75"/>
  <c r="G20" i="75"/>
  <c r="D20" i="75"/>
  <c r="D137" i="80" s="1"/>
  <c r="B20" i="75"/>
  <c r="G19" i="75"/>
  <c r="D19" i="75"/>
  <c r="D136" i="80" s="1"/>
  <c r="B19" i="75"/>
  <c r="G18" i="75"/>
  <c r="D18" i="75"/>
  <c r="D135" i="80" s="1"/>
  <c r="B18" i="75"/>
  <c r="J17" i="75"/>
  <c r="G17" i="75"/>
  <c r="D17" i="75"/>
  <c r="D134" i="80" s="1"/>
  <c r="B17" i="75"/>
  <c r="A17" i="75"/>
  <c r="A18" i="75" s="1"/>
  <c r="J16" i="75"/>
  <c r="G16" i="75"/>
  <c r="E16" i="75"/>
  <c r="D16" i="75"/>
  <c r="D133" i="80" s="1"/>
  <c r="B16" i="75"/>
  <c r="A16" i="75"/>
  <c r="J15" i="75"/>
  <c r="G15" i="75"/>
  <c r="E15" i="75"/>
  <c r="D15" i="75"/>
  <c r="D132" i="80" s="1"/>
  <c r="B15" i="75"/>
  <c r="J14" i="75"/>
  <c r="K18" i="102"/>
  <c r="K17" i="102"/>
  <c r="N13" i="102"/>
  <c r="M13" i="102"/>
  <c r="E13" i="92" s="1"/>
  <c r="L13" i="102"/>
  <c r="K13" i="102"/>
  <c r="J13" i="102"/>
  <c r="I13" i="102"/>
  <c r="E41" i="92" s="1"/>
  <c r="A13" i="102"/>
  <c r="A14" i="102" s="1"/>
  <c r="Q12" i="102"/>
  <c r="N12" i="102"/>
  <c r="M12" i="102"/>
  <c r="L12" i="102"/>
  <c r="L14" i="102" s="1"/>
  <c r="K12" i="102"/>
  <c r="J12" i="102"/>
  <c r="I12" i="102"/>
  <c r="Q11" i="102"/>
  <c r="A129" i="73"/>
  <c r="R129" i="73" s="1"/>
  <c r="R128" i="73"/>
  <c r="A128" i="73"/>
  <c r="R127" i="73"/>
  <c r="R126" i="73"/>
  <c r="D116" i="73"/>
  <c r="A115" i="73"/>
  <c r="R114" i="73"/>
  <c r="R113" i="73"/>
  <c r="D102" i="73"/>
  <c r="A102" i="73"/>
  <c r="R102" i="73" s="1"/>
  <c r="R101" i="73"/>
  <c r="A101" i="73"/>
  <c r="R100" i="73"/>
  <c r="R99" i="73"/>
  <c r="F88" i="73"/>
  <c r="E88" i="73"/>
  <c r="A88" i="73"/>
  <c r="R88" i="73" s="1"/>
  <c r="D87" i="73"/>
  <c r="A87" i="73"/>
  <c r="R87" i="73" s="1"/>
  <c r="R86" i="73"/>
  <c r="D86" i="73"/>
  <c r="D88" i="73" s="1"/>
  <c r="R85" i="73"/>
  <c r="O75" i="73"/>
  <c r="N75" i="73"/>
  <c r="M75" i="73"/>
  <c r="L75" i="73"/>
  <c r="K75" i="73"/>
  <c r="J75" i="73"/>
  <c r="I75" i="73"/>
  <c r="H75" i="73"/>
  <c r="G75" i="73"/>
  <c r="F75" i="73"/>
  <c r="E75" i="73"/>
  <c r="D75" i="73"/>
  <c r="P74" i="73"/>
  <c r="P73" i="73"/>
  <c r="P72" i="73"/>
  <c r="P71" i="73"/>
  <c r="P70" i="73"/>
  <c r="P69" i="73"/>
  <c r="P68" i="73"/>
  <c r="P67" i="73"/>
  <c r="A67" i="73"/>
  <c r="P66" i="73"/>
  <c r="R65" i="73"/>
  <c r="P65" i="73"/>
  <c r="A65" i="73"/>
  <c r="A66" i="73" s="1"/>
  <c r="R66" i="73" s="1"/>
  <c r="R64" i="73"/>
  <c r="P64" i="73"/>
  <c r="A64" i="73"/>
  <c r="R63" i="73"/>
  <c r="P63" i="73"/>
  <c r="A63" i="73"/>
  <c r="R62" i="73"/>
  <c r="P62" i="73"/>
  <c r="R61" i="73"/>
  <c r="O50" i="73"/>
  <c r="N50" i="73"/>
  <c r="M50" i="73"/>
  <c r="L50" i="73"/>
  <c r="K50" i="73"/>
  <c r="J50" i="73"/>
  <c r="I50" i="73"/>
  <c r="H50" i="73"/>
  <c r="G50" i="73"/>
  <c r="F50" i="73"/>
  <c r="E50" i="73"/>
  <c r="D50" i="73"/>
  <c r="P49" i="73"/>
  <c r="P48" i="73"/>
  <c r="P47" i="73"/>
  <c r="P46" i="73"/>
  <c r="P45" i="73"/>
  <c r="P44" i="73"/>
  <c r="P43" i="73"/>
  <c r="P42" i="73"/>
  <c r="P41" i="73"/>
  <c r="P40" i="73"/>
  <c r="P39" i="73"/>
  <c r="R38" i="73"/>
  <c r="P38" i="73"/>
  <c r="A38" i="73"/>
  <c r="A39" i="73" s="1"/>
  <c r="R37" i="73"/>
  <c r="P37" i="73"/>
  <c r="R36" i="73"/>
  <c r="O24" i="73"/>
  <c r="N24" i="73"/>
  <c r="M24" i="73"/>
  <c r="L24" i="73"/>
  <c r="K24" i="73"/>
  <c r="J24" i="73"/>
  <c r="I24" i="73"/>
  <c r="H24" i="73"/>
  <c r="G24" i="73"/>
  <c r="F24" i="73"/>
  <c r="E24" i="73"/>
  <c r="D24" i="73"/>
  <c r="D87" i="77" s="1"/>
  <c r="O23" i="73"/>
  <c r="O86" i="77" s="1"/>
  <c r="N23" i="73"/>
  <c r="N86" i="77" s="1"/>
  <c r="M23" i="73"/>
  <c r="M86" i="77" s="1"/>
  <c r="L23" i="73"/>
  <c r="L86" i="77" s="1"/>
  <c r="K23" i="73"/>
  <c r="K86" i="77" s="1"/>
  <c r="J23" i="73"/>
  <c r="J86" i="77" s="1"/>
  <c r="I23" i="73"/>
  <c r="I86" i="77" s="1"/>
  <c r="H23" i="73"/>
  <c r="H86" i="77" s="1"/>
  <c r="G23" i="73"/>
  <c r="G86" i="77" s="1"/>
  <c r="F23" i="73"/>
  <c r="F86" i="77" s="1"/>
  <c r="E23" i="73"/>
  <c r="E86" i="77" s="1"/>
  <c r="D23" i="73"/>
  <c r="O22" i="73"/>
  <c r="O85" i="77" s="1"/>
  <c r="N22" i="73"/>
  <c r="N85" i="77" s="1"/>
  <c r="M22" i="73"/>
  <c r="M85" i="77" s="1"/>
  <c r="L22" i="73"/>
  <c r="L85" i="77" s="1"/>
  <c r="K22" i="73"/>
  <c r="K85" i="77" s="1"/>
  <c r="J22" i="73"/>
  <c r="J85" i="77" s="1"/>
  <c r="I22" i="73"/>
  <c r="I85" i="77" s="1"/>
  <c r="H22" i="73"/>
  <c r="H85" i="77" s="1"/>
  <c r="G22" i="73"/>
  <c r="G85" i="77" s="1"/>
  <c r="F22" i="73"/>
  <c r="F85" i="77" s="1"/>
  <c r="E22" i="73"/>
  <c r="E85" i="77" s="1"/>
  <c r="D22" i="73"/>
  <c r="D85" i="77" s="1"/>
  <c r="O21" i="73"/>
  <c r="O84" i="77" s="1"/>
  <c r="N21" i="73"/>
  <c r="N84" i="77" s="1"/>
  <c r="M21" i="73"/>
  <c r="M84" i="77" s="1"/>
  <c r="L21" i="73"/>
  <c r="L84" i="77" s="1"/>
  <c r="K21" i="73"/>
  <c r="K84" i="77" s="1"/>
  <c r="J21" i="73"/>
  <c r="J84" i="77" s="1"/>
  <c r="I21" i="73"/>
  <c r="I84" i="77" s="1"/>
  <c r="H21" i="73"/>
  <c r="H84" i="77" s="1"/>
  <c r="G21" i="73"/>
  <c r="G84" i="77" s="1"/>
  <c r="F21" i="73"/>
  <c r="F84" i="77" s="1"/>
  <c r="E21" i="73"/>
  <c r="E84" i="77" s="1"/>
  <c r="D21" i="73"/>
  <c r="D84" i="77" s="1"/>
  <c r="O20" i="73"/>
  <c r="O83" i="77" s="1"/>
  <c r="N20" i="73"/>
  <c r="N83" i="77" s="1"/>
  <c r="M20" i="73"/>
  <c r="M83" i="77" s="1"/>
  <c r="L20" i="73"/>
  <c r="L83" i="77" s="1"/>
  <c r="K20" i="73"/>
  <c r="K83" i="77" s="1"/>
  <c r="J20" i="73"/>
  <c r="J83" i="77" s="1"/>
  <c r="I20" i="73"/>
  <c r="I83" i="77" s="1"/>
  <c r="H20" i="73"/>
  <c r="H83" i="77" s="1"/>
  <c r="G20" i="73"/>
  <c r="G83" i="77" s="1"/>
  <c r="F20" i="73"/>
  <c r="F83" i="77" s="1"/>
  <c r="E20" i="73"/>
  <c r="E83" i="77" s="1"/>
  <c r="D20" i="73"/>
  <c r="D83" i="77" s="1"/>
  <c r="O19" i="73"/>
  <c r="O82" i="77" s="1"/>
  <c r="N19" i="73"/>
  <c r="N82" i="77" s="1"/>
  <c r="M19" i="73"/>
  <c r="M82" i="77" s="1"/>
  <c r="L19" i="73"/>
  <c r="L82" i="77" s="1"/>
  <c r="K19" i="73"/>
  <c r="K82" i="77" s="1"/>
  <c r="J19" i="73"/>
  <c r="J82" i="77" s="1"/>
  <c r="I19" i="73"/>
  <c r="I82" i="77" s="1"/>
  <c r="H19" i="73"/>
  <c r="H82" i="77" s="1"/>
  <c r="G19" i="73"/>
  <c r="G82" i="77" s="1"/>
  <c r="F19" i="73"/>
  <c r="F82" i="77" s="1"/>
  <c r="E19" i="73"/>
  <c r="E82" i="77" s="1"/>
  <c r="D19" i="73"/>
  <c r="D82" i="77" s="1"/>
  <c r="C19" i="73"/>
  <c r="O18" i="73"/>
  <c r="O81" i="77" s="1"/>
  <c r="N18" i="73"/>
  <c r="N81" i="77" s="1"/>
  <c r="M18" i="73"/>
  <c r="M81" i="77" s="1"/>
  <c r="L18" i="73"/>
  <c r="L81" i="77" s="1"/>
  <c r="K18" i="73"/>
  <c r="K81" i="77" s="1"/>
  <c r="J18" i="73"/>
  <c r="J81" i="77" s="1"/>
  <c r="I18" i="73"/>
  <c r="I81" i="77" s="1"/>
  <c r="H18" i="73"/>
  <c r="H81" i="77" s="1"/>
  <c r="G18" i="73"/>
  <c r="G81" i="77" s="1"/>
  <c r="F18" i="73"/>
  <c r="F81" i="77" s="1"/>
  <c r="E18" i="73"/>
  <c r="E81" i="77" s="1"/>
  <c r="D18" i="73"/>
  <c r="D81" i="77" s="1"/>
  <c r="O17" i="73"/>
  <c r="O80" i="77" s="1"/>
  <c r="N17" i="73"/>
  <c r="N80" i="77" s="1"/>
  <c r="M17" i="73"/>
  <c r="M80" i="77" s="1"/>
  <c r="L17" i="73"/>
  <c r="L80" i="77" s="1"/>
  <c r="K17" i="73"/>
  <c r="K80" i="77" s="1"/>
  <c r="J17" i="73"/>
  <c r="J80" i="77" s="1"/>
  <c r="I17" i="73"/>
  <c r="I80" i="77" s="1"/>
  <c r="H17" i="73"/>
  <c r="H80" i="77" s="1"/>
  <c r="G17" i="73"/>
  <c r="G80" i="77" s="1"/>
  <c r="F17" i="73"/>
  <c r="F80" i="77" s="1"/>
  <c r="E17" i="73"/>
  <c r="E80" i="77" s="1"/>
  <c r="D17" i="73"/>
  <c r="D80" i="77" s="1"/>
  <c r="O16" i="73"/>
  <c r="O79" i="77" s="1"/>
  <c r="N16" i="73"/>
  <c r="N79" i="77" s="1"/>
  <c r="M16" i="73"/>
  <c r="M79" i="77" s="1"/>
  <c r="L16" i="73"/>
  <c r="L79" i="77" s="1"/>
  <c r="K16" i="73"/>
  <c r="K79" i="77" s="1"/>
  <c r="J16" i="73"/>
  <c r="J79" i="77" s="1"/>
  <c r="I16" i="73"/>
  <c r="I79" i="77" s="1"/>
  <c r="H16" i="73"/>
  <c r="H79" i="77" s="1"/>
  <c r="G16" i="73"/>
  <c r="G79" i="77" s="1"/>
  <c r="F16" i="73"/>
  <c r="F79" i="77" s="1"/>
  <c r="E16" i="73"/>
  <c r="E79" i="77" s="1"/>
  <c r="D16" i="73"/>
  <c r="D79" i="77" s="1"/>
  <c r="O15" i="73"/>
  <c r="O78" i="77" s="1"/>
  <c r="N15" i="73"/>
  <c r="N78" i="77" s="1"/>
  <c r="M15" i="73"/>
  <c r="M78" i="77" s="1"/>
  <c r="L15" i="73"/>
  <c r="L78" i="77" s="1"/>
  <c r="K15" i="73"/>
  <c r="K78" i="77" s="1"/>
  <c r="J15" i="73"/>
  <c r="J78" i="77" s="1"/>
  <c r="I15" i="73"/>
  <c r="I78" i="77" s="1"/>
  <c r="H15" i="73"/>
  <c r="H78" i="77" s="1"/>
  <c r="G15" i="73"/>
  <c r="G78" i="77" s="1"/>
  <c r="F15" i="73"/>
  <c r="F78" i="77" s="1"/>
  <c r="E15" i="73"/>
  <c r="E78" i="77" s="1"/>
  <c r="D15" i="73"/>
  <c r="D78" i="77" s="1"/>
  <c r="O14" i="73"/>
  <c r="O77" i="77" s="1"/>
  <c r="N14" i="73"/>
  <c r="N77" i="77" s="1"/>
  <c r="M14" i="73"/>
  <c r="M77" i="77" s="1"/>
  <c r="L14" i="73"/>
  <c r="L77" i="77" s="1"/>
  <c r="K14" i="73"/>
  <c r="K77" i="77" s="1"/>
  <c r="J14" i="73"/>
  <c r="J77" i="77" s="1"/>
  <c r="I14" i="73"/>
  <c r="I77" i="77" s="1"/>
  <c r="H14" i="73"/>
  <c r="H77" i="77" s="1"/>
  <c r="G14" i="73"/>
  <c r="G77" i="77" s="1"/>
  <c r="F14" i="73"/>
  <c r="F77" i="77" s="1"/>
  <c r="E14" i="73"/>
  <c r="E77" i="77" s="1"/>
  <c r="D14" i="73"/>
  <c r="D77" i="77" s="1"/>
  <c r="C14" i="73"/>
  <c r="A14" i="73"/>
  <c r="Q13" i="73"/>
  <c r="O13" i="73"/>
  <c r="O76" i="77" s="1"/>
  <c r="N13" i="73"/>
  <c r="N76" i="77" s="1"/>
  <c r="M13" i="73"/>
  <c r="M76" i="77" s="1"/>
  <c r="L13" i="73"/>
  <c r="L76" i="77" s="1"/>
  <c r="K13" i="73"/>
  <c r="K76" i="77" s="1"/>
  <c r="J13" i="73"/>
  <c r="J76" i="77" s="1"/>
  <c r="I13" i="73"/>
  <c r="I76" i="77" s="1"/>
  <c r="H13" i="73"/>
  <c r="H76" i="77" s="1"/>
  <c r="G13" i="73"/>
  <c r="G76" i="77" s="1"/>
  <c r="F13" i="73"/>
  <c r="F76" i="77" s="1"/>
  <c r="E13" i="73"/>
  <c r="E76" i="77" s="1"/>
  <c r="D13" i="73"/>
  <c r="D76" i="77" s="1"/>
  <c r="A13" i="73"/>
  <c r="R13" i="73" s="1"/>
  <c r="R12" i="73"/>
  <c r="Q12" i="73"/>
  <c r="O12" i="73"/>
  <c r="N12" i="73"/>
  <c r="M12" i="73"/>
  <c r="L12" i="73"/>
  <c r="L25" i="73" s="1"/>
  <c r="K12" i="73"/>
  <c r="K25" i="73" s="1"/>
  <c r="J12" i="73"/>
  <c r="I12" i="73"/>
  <c r="H12" i="73"/>
  <c r="H25" i="73" s="1"/>
  <c r="G12" i="73"/>
  <c r="F12" i="73"/>
  <c r="E12" i="73"/>
  <c r="D12" i="73"/>
  <c r="R11" i="73"/>
  <c r="F24" i="72"/>
  <c r="D24" i="72"/>
  <c r="C36" i="90" s="1"/>
  <c r="I23" i="72"/>
  <c r="I22" i="72"/>
  <c r="G22" i="72"/>
  <c r="G20" i="72"/>
  <c r="I20" i="72" s="1"/>
  <c r="I19" i="72"/>
  <c r="G19" i="72"/>
  <c r="I17" i="72"/>
  <c r="G17" i="72"/>
  <c r="G16" i="72"/>
  <c r="I16" i="72" s="1"/>
  <c r="A15" i="72"/>
  <c r="J14" i="72"/>
  <c r="J13" i="72"/>
  <c r="G42" i="71"/>
  <c r="E7" i="71" s="1"/>
  <c r="E42" i="71"/>
  <c r="A40" i="71"/>
  <c r="A41" i="71" s="1"/>
  <c r="K39" i="71"/>
  <c r="A39" i="71"/>
  <c r="K38" i="71"/>
  <c r="A38" i="71"/>
  <c r="K37" i="71"/>
  <c r="K36" i="71"/>
  <c r="H30" i="71"/>
  <c r="G30" i="71"/>
  <c r="E11" i="71" s="1"/>
  <c r="F30" i="71"/>
  <c r="E10" i="71" s="1"/>
  <c r="J29" i="71"/>
  <c r="I29" i="71"/>
  <c r="J28" i="71"/>
  <c r="I28" i="71"/>
  <c r="J27" i="71"/>
  <c r="I27" i="71"/>
  <c r="J26" i="71"/>
  <c r="I26" i="71"/>
  <c r="J25" i="71"/>
  <c r="I25" i="71"/>
  <c r="J24" i="71"/>
  <c r="I24" i="71"/>
  <c r="A24" i="71"/>
  <c r="K23" i="71"/>
  <c r="J23" i="71"/>
  <c r="J30" i="71" s="1"/>
  <c r="E6" i="71" s="1"/>
  <c r="I23" i="71"/>
  <c r="A23" i="71"/>
  <c r="K22" i="71"/>
  <c r="J22" i="71"/>
  <c r="I22" i="71"/>
  <c r="K21" i="71"/>
  <c r="E12" i="71"/>
  <c r="F8" i="71"/>
  <c r="E8" i="71"/>
  <c r="E14" i="71" s="1"/>
  <c r="E41" i="1" s="1"/>
  <c r="E56" i="1" s="1"/>
  <c r="E64" i="1" s="1"/>
  <c r="A8" i="71"/>
  <c r="A7" i="71"/>
  <c r="K7" i="71" s="1"/>
  <c r="K6" i="71"/>
  <c r="K5" i="71"/>
  <c r="F24" i="70"/>
  <c r="F22" i="70"/>
  <c r="F14" i="70"/>
  <c r="A8" i="70"/>
  <c r="A9" i="70" s="1"/>
  <c r="H7" i="70"/>
  <c r="C39" i="69"/>
  <c r="C37" i="69"/>
  <c r="C35" i="69"/>
  <c r="C33" i="69"/>
  <c r="C31" i="69"/>
  <c r="C29" i="69"/>
  <c r="C27" i="69"/>
  <c r="C25" i="69"/>
  <c r="C23" i="69"/>
  <c r="C21" i="69"/>
  <c r="C19" i="69"/>
  <c r="C17" i="69"/>
  <c r="C15" i="69"/>
  <c r="A15" i="69"/>
  <c r="Q13" i="69"/>
  <c r="C13" i="69"/>
  <c r="Q12" i="69"/>
  <c r="D29" i="68"/>
  <c r="D28" i="68"/>
  <c r="D25" i="68"/>
  <c r="D21" i="68"/>
  <c r="D27" i="68" s="1"/>
  <c r="D20" i="68"/>
  <c r="D22" i="68" s="1"/>
  <c r="D26" i="68" s="1"/>
  <c r="D19" i="68"/>
  <c r="D13" i="68"/>
  <c r="D12" i="68"/>
  <c r="D11" i="68"/>
  <c r="D10" i="68"/>
  <c r="A10" i="68"/>
  <c r="A11" i="68" s="1"/>
  <c r="A12" i="68" s="1"/>
  <c r="G9" i="68"/>
  <c r="D9" i="68"/>
  <c r="A9" i="68"/>
  <c r="G8" i="68"/>
  <c r="D8" i="68"/>
  <c r="A8" i="68"/>
  <c r="G7" i="68"/>
  <c r="D7" i="68"/>
  <c r="A7" i="68"/>
  <c r="G6" i="68"/>
  <c r="D6" i="68"/>
  <c r="G4" i="68"/>
  <c r="F1" i="68"/>
  <c r="B143" i="5"/>
  <c r="E120" i="5"/>
  <c r="A108" i="5"/>
  <c r="A109" i="5" s="1"/>
  <c r="A110" i="5" s="1"/>
  <c r="L102" i="5"/>
  <c r="L101" i="5"/>
  <c r="B100" i="5"/>
  <c r="B99" i="5"/>
  <c r="L95" i="5"/>
  <c r="B95" i="5"/>
  <c r="L94" i="5"/>
  <c r="H90" i="5"/>
  <c r="E90" i="5"/>
  <c r="C90" i="5"/>
  <c r="E89" i="5"/>
  <c r="C89" i="5"/>
  <c r="H88" i="5"/>
  <c r="E88" i="5"/>
  <c r="C88" i="5"/>
  <c r="E87" i="5"/>
  <c r="C87" i="5"/>
  <c r="E86" i="5"/>
  <c r="C86" i="5"/>
  <c r="H85" i="5"/>
  <c r="E85" i="5"/>
  <c r="C85" i="5"/>
  <c r="H84" i="5"/>
  <c r="E84" i="5"/>
  <c r="C84" i="5"/>
  <c r="E83" i="5"/>
  <c r="C83" i="5"/>
  <c r="H82" i="5"/>
  <c r="E82" i="5"/>
  <c r="C82" i="5"/>
  <c r="H81" i="5"/>
  <c r="E81" i="5"/>
  <c r="C81" i="5"/>
  <c r="A81" i="5"/>
  <c r="E80" i="5"/>
  <c r="C80" i="5"/>
  <c r="A80" i="5"/>
  <c r="L80" i="5" s="1"/>
  <c r="L79" i="5"/>
  <c r="H79" i="5"/>
  <c r="E79" i="5"/>
  <c r="C79" i="5"/>
  <c r="L78" i="5"/>
  <c r="I75" i="5"/>
  <c r="F75" i="5"/>
  <c r="H68" i="5"/>
  <c r="H89" i="5" s="1"/>
  <c r="H67" i="5"/>
  <c r="H66" i="5"/>
  <c r="H65" i="5"/>
  <c r="H64" i="5"/>
  <c r="H63" i="5"/>
  <c r="H62" i="5"/>
  <c r="H61" i="5"/>
  <c r="H60" i="5"/>
  <c r="H59" i="5"/>
  <c r="H58" i="5"/>
  <c r="H57" i="5"/>
  <c r="H56" i="5"/>
  <c r="E56" i="5"/>
  <c r="H55" i="5"/>
  <c r="E55" i="5"/>
  <c r="H54" i="5"/>
  <c r="E54" i="5"/>
  <c r="H53" i="5"/>
  <c r="E53" i="5"/>
  <c r="C53" i="5"/>
  <c r="C116" i="5" s="1"/>
  <c r="H52" i="5"/>
  <c r="E52" i="5"/>
  <c r="H51" i="5"/>
  <c r="E51" i="5"/>
  <c r="C51" i="5"/>
  <c r="C114" i="5" s="1"/>
  <c r="H50" i="5"/>
  <c r="E50" i="5"/>
  <c r="H49" i="5"/>
  <c r="E49" i="5"/>
  <c r="H48" i="5"/>
  <c r="E48" i="5"/>
  <c r="H47" i="5"/>
  <c r="E47" i="5"/>
  <c r="C47" i="5"/>
  <c r="C110" i="5" s="1"/>
  <c r="H46" i="5"/>
  <c r="E46" i="5"/>
  <c r="H45" i="5"/>
  <c r="E45" i="5"/>
  <c r="A45" i="5"/>
  <c r="A46" i="5" s="1"/>
  <c r="L44" i="5"/>
  <c r="K44" i="5"/>
  <c r="A44" i="5"/>
  <c r="K39" i="5"/>
  <c r="F39" i="5"/>
  <c r="L36" i="5"/>
  <c r="L35" i="5"/>
  <c r="B31" i="5"/>
  <c r="J25" i="5"/>
  <c r="I25" i="5"/>
  <c r="H25" i="5"/>
  <c r="G25" i="5"/>
  <c r="F25" i="5"/>
  <c r="E25" i="5"/>
  <c r="D25" i="5"/>
  <c r="C25" i="5"/>
  <c r="J24" i="5"/>
  <c r="J23" i="5"/>
  <c r="J22" i="5"/>
  <c r="J21" i="5"/>
  <c r="J20" i="5"/>
  <c r="J19" i="5"/>
  <c r="J18" i="5"/>
  <c r="J17" i="5"/>
  <c r="A17" i="5"/>
  <c r="A18" i="5" s="1"/>
  <c r="L16" i="5"/>
  <c r="J16" i="5"/>
  <c r="A16" i="5"/>
  <c r="L15" i="5"/>
  <c r="J15" i="5"/>
  <c r="A15" i="5"/>
  <c r="L14" i="5"/>
  <c r="J14" i="5"/>
  <c r="A14" i="5"/>
  <c r="L13" i="5"/>
  <c r="J13" i="5"/>
  <c r="L12" i="5"/>
  <c r="K1" i="5"/>
  <c r="K106" i="47"/>
  <c r="F106" i="47"/>
  <c r="E106" i="47"/>
  <c r="K101" i="47"/>
  <c r="K95" i="47"/>
  <c r="K88" i="47"/>
  <c r="L88" i="47" s="1"/>
  <c r="L87" i="47"/>
  <c r="F83" i="47"/>
  <c r="A83" i="47"/>
  <c r="A84" i="47" s="1"/>
  <c r="K82" i="47"/>
  <c r="H81" i="47"/>
  <c r="F81" i="47"/>
  <c r="A81" i="47"/>
  <c r="A82" i="47" s="1"/>
  <c r="H82" i="47" s="1"/>
  <c r="H80" i="47"/>
  <c r="F80" i="47"/>
  <c r="H78" i="47"/>
  <c r="K70" i="47"/>
  <c r="E70" i="47"/>
  <c r="E69" i="47"/>
  <c r="K69" i="47" s="1"/>
  <c r="F68" i="47"/>
  <c r="A61" i="47"/>
  <c r="H61" i="47" s="1"/>
  <c r="H59" i="47"/>
  <c r="F59" i="47"/>
  <c r="A59" i="47"/>
  <c r="K58" i="47"/>
  <c r="H58" i="47"/>
  <c r="E58" i="47"/>
  <c r="A58" i="47"/>
  <c r="H57" i="47"/>
  <c r="E57" i="47"/>
  <c r="E59" i="47" s="1"/>
  <c r="H56" i="47"/>
  <c r="E46" i="47"/>
  <c r="K46" i="47" s="1"/>
  <c r="K42" i="47"/>
  <c r="E42" i="47"/>
  <c r="E40" i="47"/>
  <c r="A40" i="47"/>
  <c r="A41" i="47" s="1"/>
  <c r="K37" i="47"/>
  <c r="H37" i="47"/>
  <c r="H36" i="47"/>
  <c r="O30" i="47"/>
  <c r="L30" i="47"/>
  <c r="E28" i="47"/>
  <c r="K28" i="47" s="1"/>
  <c r="C27" i="47"/>
  <c r="E26" i="47"/>
  <c r="K26" i="47" s="1"/>
  <c r="H25" i="47"/>
  <c r="H24" i="47"/>
  <c r="E13" i="47"/>
  <c r="F10" i="47"/>
  <c r="A10" i="47"/>
  <c r="A13" i="47" s="1"/>
  <c r="A8" i="47"/>
  <c r="A9" i="47" s="1"/>
  <c r="H7" i="47"/>
  <c r="H5" i="47"/>
  <c r="G1" i="47"/>
  <c r="E26" i="2"/>
  <c r="A23" i="2"/>
  <c r="E25" i="2" s="1"/>
  <c r="G22" i="2"/>
  <c r="G21" i="2"/>
  <c r="D10" i="2"/>
  <c r="A9" i="2"/>
  <c r="G9" i="2" s="1"/>
  <c r="G6" i="2"/>
  <c r="G5" i="2"/>
  <c r="F1" i="2"/>
  <c r="A158" i="1"/>
  <c r="H158" i="1" s="1"/>
  <c r="H157" i="1"/>
  <c r="A157" i="1"/>
  <c r="H155" i="1"/>
  <c r="E155" i="1"/>
  <c r="H154" i="1"/>
  <c r="F150" i="1"/>
  <c r="E150" i="1"/>
  <c r="A149" i="1"/>
  <c r="H148" i="1"/>
  <c r="H147" i="1"/>
  <c r="E141" i="1"/>
  <c r="E95" i="47" s="1"/>
  <c r="E140" i="1"/>
  <c r="E136" i="1"/>
  <c r="E90" i="47" s="1"/>
  <c r="K90" i="47" s="1"/>
  <c r="E134" i="1"/>
  <c r="E88" i="47" s="1"/>
  <c r="A128" i="1"/>
  <c r="H127" i="1"/>
  <c r="E127" i="1"/>
  <c r="E82" i="47" s="1"/>
  <c r="A127" i="1"/>
  <c r="F82" i="47" s="1"/>
  <c r="H126" i="1"/>
  <c r="A126" i="1"/>
  <c r="H125" i="1"/>
  <c r="H123" i="1"/>
  <c r="E118" i="1"/>
  <c r="E108" i="1"/>
  <c r="E103" i="1"/>
  <c r="E119" i="1" s="1"/>
  <c r="E98" i="1"/>
  <c r="A98" i="1"/>
  <c r="F99" i="1" s="1"/>
  <c r="H97" i="1"/>
  <c r="E97" i="1"/>
  <c r="E99" i="1" s="1"/>
  <c r="H96" i="1"/>
  <c r="E88" i="1"/>
  <c r="A79" i="1"/>
  <c r="F80" i="1" s="1"/>
  <c r="H78" i="1"/>
  <c r="H76" i="1"/>
  <c r="E69" i="1"/>
  <c r="E63" i="1"/>
  <c r="E58" i="1"/>
  <c r="E65" i="1" s="1"/>
  <c r="E40" i="1"/>
  <c r="F37" i="1"/>
  <c r="A37" i="1"/>
  <c r="H36" i="1"/>
  <c r="E36" i="1"/>
  <c r="E55" i="1" s="1"/>
  <c r="A36" i="1"/>
  <c r="F55" i="1" s="1"/>
  <c r="H35" i="1"/>
  <c r="H33" i="1"/>
  <c r="E28" i="1"/>
  <c r="E26" i="1"/>
  <c r="H25" i="1"/>
  <c r="H24" i="1"/>
  <c r="E19" i="1"/>
  <c r="F15" i="1"/>
  <c r="E13" i="1"/>
  <c r="A8" i="1"/>
  <c r="H8" i="1" s="1"/>
  <c r="H7" i="1"/>
  <c r="H5" i="1"/>
  <c r="G2" i="1"/>
  <c r="G10" i="69" s="1"/>
  <c r="N14" i="102" l="1"/>
  <c r="E9" i="47" s="1"/>
  <c r="E49" i="47" s="1"/>
  <c r="K49" i="47" s="1"/>
  <c r="K14" i="102"/>
  <c r="F115" i="77"/>
  <c r="F112" i="77"/>
  <c r="F118" i="77"/>
  <c r="J14" i="102"/>
  <c r="K59" i="47"/>
  <c r="E68" i="47"/>
  <c r="K68" i="47" s="1"/>
  <c r="E32" i="89"/>
  <c r="D32" i="89"/>
  <c r="E41" i="47"/>
  <c r="E68" i="1"/>
  <c r="E116" i="1" s="1"/>
  <c r="E66" i="1"/>
  <c r="C29" i="87"/>
  <c r="C31" i="87" s="1"/>
  <c r="L17" i="102"/>
  <c r="E117" i="1"/>
  <c r="H128" i="80" s="1"/>
  <c r="D14" i="68"/>
  <c r="D15" i="68" s="1"/>
  <c r="D16" i="68" s="1"/>
  <c r="E35" i="1" s="1"/>
  <c r="H41" i="47"/>
  <c r="A42" i="47"/>
  <c r="F45" i="47" s="1"/>
  <c r="E42" i="1"/>
  <c r="A47" i="5"/>
  <c r="L46" i="5"/>
  <c r="A111" i="5"/>
  <c r="L110" i="5"/>
  <c r="A15" i="73"/>
  <c r="R14" i="73"/>
  <c r="D115" i="5"/>
  <c r="D118" i="5"/>
  <c r="D108" i="5"/>
  <c r="D111" i="5"/>
  <c r="D114" i="5"/>
  <c r="D117" i="5"/>
  <c r="D113" i="5"/>
  <c r="F23" i="82"/>
  <c r="A10" i="71"/>
  <c r="K8" i="71"/>
  <c r="A68" i="73"/>
  <c r="R67" i="73"/>
  <c r="A85" i="47"/>
  <c r="H84" i="47"/>
  <c r="H79" i="1"/>
  <c r="G23" i="2"/>
  <c r="A13" i="68"/>
  <c r="G12" i="68"/>
  <c r="D10" i="69"/>
  <c r="A42" i="71"/>
  <c r="K41" i="71"/>
  <c r="A25" i="2"/>
  <c r="K13" i="47"/>
  <c r="E43" i="47"/>
  <c r="K40" i="47"/>
  <c r="C54" i="5"/>
  <c r="C117" i="5" s="1"/>
  <c r="E10" i="69"/>
  <c r="K40" i="71"/>
  <c r="M25" i="73"/>
  <c r="A14" i="47"/>
  <c r="H13" i="47"/>
  <c r="A19" i="5"/>
  <c r="L18" i="5"/>
  <c r="A9" i="1"/>
  <c r="L17" i="5"/>
  <c r="E33" i="89"/>
  <c r="D33" i="89"/>
  <c r="H98" i="1"/>
  <c r="H40" i="47"/>
  <c r="A63" i="47"/>
  <c r="G10" i="68"/>
  <c r="F10" i="69"/>
  <c r="I30" i="71"/>
  <c r="N25" i="73"/>
  <c r="E87" i="77"/>
  <c r="G14" i="72"/>
  <c r="A10" i="2"/>
  <c r="F87" i="47"/>
  <c r="H128" i="1"/>
  <c r="E94" i="47"/>
  <c r="D30" i="2"/>
  <c r="D31" i="2"/>
  <c r="L45" i="5"/>
  <c r="C52" i="5"/>
  <c r="C115" i="5" s="1"/>
  <c r="D109" i="5"/>
  <c r="D116" i="5"/>
  <c r="O25" i="73"/>
  <c r="A159" i="1"/>
  <c r="H83" i="47"/>
  <c r="A99" i="1"/>
  <c r="E11" i="2"/>
  <c r="H8" i="47"/>
  <c r="L109" i="5"/>
  <c r="G11" i="68"/>
  <c r="P12" i="73"/>
  <c r="E31" i="89"/>
  <c r="D31" i="89"/>
  <c r="A129" i="1"/>
  <c r="E15" i="2" s="1"/>
  <c r="J1" i="89"/>
  <c r="E1" i="90"/>
  <c r="C58" i="89"/>
  <c r="C54" i="89"/>
  <c r="C50" i="89"/>
  <c r="C55" i="89"/>
  <c r="C51" i="89"/>
  <c r="C47" i="89"/>
  <c r="C56" i="89"/>
  <c r="C52" i="89"/>
  <c r="C48" i="89"/>
  <c r="F1" i="91"/>
  <c r="C53" i="89"/>
  <c r="J1" i="86"/>
  <c r="E1" i="88"/>
  <c r="C57" i="89"/>
  <c r="P1" i="84"/>
  <c r="C49" i="89"/>
  <c r="F1" i="87"/>
  <c r="BI1" i="104"/>
  <c r="B64" i="83"/>
  <c r="B60" i="83"/>
  <c r="B56" i="83"/>
  <c r="B65" i="83"/>
  <c r="B61" i="83"/>
  <c r="B57" i="83"/>
  <c r="F1" i="82"/>
  <c r="J1" i="83"/>
  <c r="B66" i="83"/>
  <c r="B62" i="83"/>
  <c r="B58" i="83"/>
  <c r="C25" i="79"/>
  <c r="C13" i="79"/>
  <c r="B121" i="80"/>
  <c r="B117" i="80"/>
  <c r="B113" i="80"/>
  <c r="C49" i="79"/>
  <c r="C46" i="79"/>
  <c r="C43" i="79"/>
  <c r="C40" i="79"/>
  <c r="C37" i="79"/>
  <c r="C20" i="79"/>
  <c r="B63" i="83"/>
  <c r="C15" i="79"/>
  <c r="I1" i="79"/>
  <c r="B67" i="83"/>
  <c r="B122" i="80"/>
  <c r="B118" i="80"/>
  <c r="B114" i="80"/>
  <c r="C17" i="79"/>
  <c r="C48" i="79"/>
  <c r="C45" i="79"/>
  <c r="C42" i="79"/>
  <c r="C39" i="79"/>
  <c r="C24" i="79"/>
  <c r="C19" i="79"/>
  <c r="B119" i="80"/>
  <c r="B115" i="80"/>
  <c r="B111" i="80"/>
  <c r="C41" i="79"/>
  <c r="C18" i="79"/>
  <c r="C121" i="77"/>
  <c r="C118" i="77"/>
  <c r="C115" i="77"/>
  <c r="C112" i="77"/>
  <c r="C127" i="76"/>
  <c r="C76" i="76"/>
  <c r="C73" i="76"/>
  <c r="C70" i="76"/>
  <c r="C67" i="76"/>
  <c r="C64" i="76"/>
  <c r="B59" i="83"/>
  <c r="C22" i="79"/>
  <c r="C87" i="77"/>
  <c r="C84" i="77"/>
  <c r="C81" i="77"/>
  <c r="C78" i="77"/>
  <c r="C116" i="76"/>
  <c r="C88" i="76"/>
  <c r="C21" i="79"/>
  <c r="B61" i="77"/>
  <c r="C49" i="76"/>
  <c r="C46" i="76"/>
  <c r="C43" i="76"/>
  <c r="C40" i="76"/>
  <c r="C16" i="79"/>
  <c r="C120" i="77"/>
  <c r="C117" i="77"/>
  <c r="C114" i="77"/>
  <c r="C111" i="77"/>
  <c r="C101" i="76"/>
  <c r="C75" i="76"/>
  <c r="C72" i="76"/>
  <c r="C69" i="76"/>
  <c r="C66" i="76"/>
  <c r="BG1" i="103"/>
  <c r="C44" i="79"/>
  <c r="C86" i="77"/>
  <c r="C83" i="77"/>
  <c r="C80" i="77"/>
  <c r="C77" i="77"/>
  <c r="B38" i="77"/>
  <c r="C87" i="76"/>
  <c r="C128" i="76"/>
  <c r="C38" i="79"/>
  <c r="C51" i="76"/>
  <c r="C48" i="76"/>
  <c r="C45" i="76"/>
  <c r="C42" i="76"/>
  <c r="C39" i="76"/>
  <c r="C14" i="79"/>
  <c r="C119" i="77"/>
  <c r="C116" i="77"/>
  <c r="C113" i="77"/>
  <c r="C110" i="77"/>
  <c r="P1" i="77"/>
  <c r="C115" i="76"/>
  <c r="C74" i="76"/>
  <c r="C71" i="76"/>
  <c r="C68" i="76"/>
  <c r="C65" i="76"/>
  <c r="C22" i="76"/>
  <c r="C98" i="75"/>
  <c r="C95" i="75"/>
  <c r="C92" i="75"/>
  <c r="C89" i="75"/>
  <c r="C56" i="75"/>
  <c r="C101" i="73"/>
  <c r="C18" i="73"/>
  <c r="O10" i="69"/>
  <c r="P1" i="69"/>
  <c r="C50" i="5"/>
  <c r="C113" i="5" s="1"/>
  <c r="C47" i="79"/>
  <c r="C41" i="76"/>
  <c r="C17" i="76"/>
  <c r="C61" i="75"/>
  <c r="C22" i="75"/>
  <c r="C16" i="75"/>
  <c r="B116" i="80"/>
  <c r="C24" i="76"/>
  <c r="C54" i="75"/>
  <c r="I1" i="75"/>
  <c r="C47" i="76"/>
  <c r="C19" i="76"/>
  <c r="C59" i="75"/>
  <c r="C23" i="75"/>
  <c r="C17" i="75"/>
  <c r="C14" i="76"/>
  <c r="C99" i="75"/>
  <c r="C96" i="75"/>
  <c r="C93" i="75"/>
  <c r="C90" i="75"/>
  <c r="C52" i="75"/>
  <c r="F1" i="81"/>
  <c r="B112" i="80"/>
  <c r="B51" i="77"/>
  <c r="C102" i="76"/>
  <c r="C26" i="76"/>
  <c r="C21" i="76"/>
  <c r="C57" i="75"/>
  <c r="C24" i="75"/>
  <c r="C18" i="75"/>
  <c r="C16" i="76"/>
  <c r="P1" i="76"/>
  <c r="C62" i="75"/>
  <c r="C23" i="76"/>
  <c r="C55" i="75"/>
  <c r="C25" i="75"/>
  <c r="C19" i="75"/>
  <c r="M1" i="80"/>
  <c r="C44" i="76"/>
  <c r="C18" i="76"/>
  <c r="C97" i="75"/>
  <c r="C94" i="75"/>
  <c r="C91" i="75"/>
  <c r="C88" i="75"/>
  <c r="C60" i="75"/>
  <c r="C23" i="79"/>
  <c r="C85" i="77"/>
  <c r="C82" i="77"/>
  <c r="C79" i="77"/>
  <c r="C25" i="76"/>
  <c r="C53" i="75"/>
  <c r="C26" i="75"/>
  <c r="C20" i="75"/>
  <c r="C50" i="76"/>
  <c r="C20" i="76"/>
  <c r="C58" i="75"/>
  <c r="C49" i="73"/>
  <c r="C46" i="73"/>
  <c r="C43" i="73"/>
  <c r="C40" i="73"/>
  <c r="C37" i="73"/>
  <c r="B120" i="80"/>
  <c r="C76" i="77"/>
  <c r="B25" i="77"/>
  <c r="C15" i="76"/>
  <c r="C63" i="75"/>
  <c r="C21" i="75"/>
  <c r="C15" i="75"/>
  <c r="P1" i="102"/>
  <c r="C114" i="73"/>
  <c r="C72" i="73"/>
  <c r="C69" i="73"/>
  <c r="C66" i="73"/>
  <c r="C63" i="73"/>
  <c r="C70" i="73"/>
  <c r="C44" i="73"/>
  <c r="C24" i="73"/>
  <c r="C16" i="73"/>
  <c r="P10" i="69"/>
  <c r="C87" i="73"/>
  <c r="C73" i="73"/>
  <c r="C39" i="73"/>
  <c r="C21" i="73"/>
  <c r="C13" i="73"/>
  <c r="N10" i="69"/>
  <c r="C55" i="5"/>
  <c r="C118" i="5" s="1"/>
  <c r="C48" i="5"/>
  <c r="C111" i="5" s="1"/>
  <c r="C62" i="73"/>
  <c r="C47" i="73"/>
  <c r="M10" i="69"/>
  <c r="C56" i="5"/>
  <c r="C65" i="73"/>
  <c r="I1" i="72"/>
  <c r="L10" i="69"/>
  <c r="C49" i="5"/>
  <c r="C112" i="5" s="1"/>
  <c r="C42" i="73"/>
  <c r="C23" i="73"/>
  <c r="C15" i="73"/>
  <c r="K10" i="69"/>
  <c r="C128" i="73"/>
  <c r="C100" i="73"/>
  <c r="C86" i="73"/>
  <c r="C68" i="73"/>
  <c r="C38" i="73"/>
  <c r="C20" i="73"/>
  <c r="G1" i="70"/>
  <c r="J10" i="69"/>
  <c r="C12" i="73"/>
  <c r="I10" i="69"/>
  <c r="C115" i="73"/>
  <c r="C71" i="73"/>
  <c r="C64" i="73"/>
  <c r="C45" i="73"/>
  <c r="C17" i="73"/>
  <c r="H10" i="69"/>
  <c r="C45" i="5"/>
  <c r="C41" i="73"/>
  <c r="C22" i="73"/>
  <c r="P1" i="73"/>
  <c r="J1" i="71"/>
  <c r="C74" i="73"/>
  <c r="C67" i="73"/>
  <c r="C46" i="5"/>
  <c r="C109" i="5" s="1"/>
  <c r="D30" i="68"/>
  <c r="E45" i="1" s="1"/>
  <c r="A40" i="1"/>
  <c r="H37" i="1"/>
  <c r="A80" i="1"/>
  <c r="A150" i="1"/>
  <c r="H149" i="1"/>
  <c r="H9" i="47"/>
  <c r="A82" i="5"/>
  <c r="L81" i="5"/>
  <c r="D110" i="5"/>
  <c r="A16" i="72"/>
  <c r="J15" i="72"/>
  <c r="R39" i="73"/>
  <c r="A40" i="73"/>
  <c r="Q14" i="73"/>
  <c r="C127" i="73"/>
  <c r="H10" i="47"/>
  <c r="K24" i="71"/>
  <c r="A25" i="71"/>
  <c r="K57" i="47"/>
  <c r="F2" i="2"/>
  <c r="F15" i="47"/>
  <c r="K2" i="5"/>
  <c r="D112" i="5"/>
  <c r="D119" i="5"/>
  <c r="A17" i="69"/>
  <c r="Q15" i="69"/>
  <c r="P50" i="73"/>
  <c r="C48" i="73"/>
  <c r="D116" i="77"/>
  <c r="P82" i="77"/>
  <c r="P19" i="73"/>
  <c r="F10" i="78"/>
  <c r="G15" i="72"/>
  <c r="I15" i="72" s="1"/>
  <c r="F87" i="77"/>
  <c r="F121" i="77" s="1"/>
  <c r="D111" i="77"/>
  <c r="P77" i="77"/>
  <c r="P14" i="73"/>
  <c r="F11" i="78"/>
  <c r="G87" i="77"/>
  <c r="P87" i="77" s="1"/>
  <c r="D11" i="92"/>
  <c r="C41" i="90"/>
  <c r="C42" i="90"/>
  <c r="E11" i="92"/>
  <c r="A116" i="73"/>
  <c r="R116" i="73" s="1"/>
  <c r="R115" i="73"/>
  <c r="A93" i="75"/>
  <c r="J92" i="75"/>
  <c r="D119" i="77"/>
  <c r="P85" i="77"/>
  <c r="P22" i="73"/>
  <c r="H87" i="77"/>
  <c r="F12" i="78"/>
  <c r="D25" i="73"/>
  <c r="D114" i="77"/>
  <c r="P80" i="77"/>
  <c r="P17" i="73"/>
  <c r="D41" i="92"/>
  <c r="F41" i="92" s="1"/>
  <c r="I14" i="102"/>
  <c r="F14" i="78"/>
  <c r="J87" i="77"/>
  <c r="I25" i="73"/>
  <c r="F136" i="80"/>
  <c r="H87" i="5"/>
  <c r="E25" i="73"/>
  <c r="D117" i="77"/>
  <c r="P83" i="77"/>
  <c r="P20" i="73"/>
  <c r="J25" i="73"/>
  <c r="A18" i="76"/>
  <c r="R17" i="76"/>
  <c r="F25" i="73"/>
  <c r="P78" i="77"/>
  <c r="D112" i="77"/>
  <c r="P15" i="73"/>
  <c r="D86" i="77"/>
  <c r="P23" i="73"/>
  <c r="L87" i="77"/>
  <c r="F16" i="78"/>
  <c r="H80" i="5"/>
  <c r="H8" i="70"/>
  <c r="G25" i="73"/>
  <c r="P81" i="77"/>
  <c r="D115" i="77"/>
  <c r="P18" i="73"/>
  <c r="F17" i="78"/>
  <c r="M87" i="77"/>
  <c r="D13" i="92"/>
  <c r="F13" i="92" s="1"/>
  <c r="M14" i="102"/>
  <c r="E9" i="1" s="1"/>
  <c r="E72" i="1" s="1"/>
  <c r="E120" i="1" s="1"/>
  <c r="A19" i="75"/>
  <c r="J18" i="75"/>
  <c r="F141" i="80"/>
  <c r="H83" i="5"/>
  <c r="L108" i="5"/>
  <c r="H9" i="70"/>
  <c r="N87" i="77"/>
  <c r="F18" i="78"/>
  <c r="G21" i="72"/>
  <c r="I21" i="72" s="1"/>
  <c r="P75" i="73"/>
  <c r="E91" i="75"/>
  <c r="H86" i="5"/>
  <c r="A10" i="70"/>
  <c r="P84" i="77"/>
  <c r="D118" i="77"/>
  <c r="P21" i="73"/>
  <c r="O87" i="77"/>
  <c r="F19" i="78"/>
  <c r="D144" i="80"/>
  <c r="F132" i="80"/>
  <c r="F134" i="80"/>
  <c r="A55" i="75"/>
  <c r="J54" i="75"/>
  <c r="D113" i="77"/>
  <c r="P79" i="77"/>
  <c r="P16" i="73"/>
  <c r="D121" i="77"/>
  <c r="P24" i="73"/>
  <c r="A17" i="102"/>
  <c r="Q14" i="102"/>
  <c r="E17" i="75"/>
  <c r="E55" i="75"/>
  <c r="BB113" i="103"/>
  <c r="BD113" i="103" s="1"/>
  <c r="AP113" i="103"/>
  <c r="K87" i="77"/>
  <c r="F15" i="78"/>
  <c r="D161" i="80"/>
  <c r="F149" i="80"/>
  <c r="F161" i="80" s="1"/>
  <c r="I27" i="76"/>
  <c r="A80" i="77"/>
  <c r="Q79" i="77"/>
  <c r="N98" i="77"/>
  <c r="M98" i="77"/>
  <c r="L98" i="77"/>
  <c r="K98" i="77"/>
  <c r="J98" i="77"/>
  <c r="I98" i="77"/>
  <c r="H98" i="77"/>
  <c r="G98" i="77"/>
  <c r="N56" i="80"/>
  <c r="A57" i="80"/>
  <c r="G62" i="83"/>
  <c r="J27" i="76"/>
  <c r="E120" i="77"/>
  <c r="E117" i="77"/>
  <c r="E114" i="77"/>
  <c r="E111" i="77"/>
  <c r="E119" i="77"/>
  <c r="E116" i="77"/>
  <c r="E113" i="77"/>
  <c r="E110" i="77"/>
  <c r="AX65" i="103"/>
  <c r="BD65" i="103" s="1"/>
  <c r="BF65" i="103" s="1"/>
  <c r="AP65" i="103"/>
  <c r="F137" i="80"/>
  <c r="F120" i="77"/>
  <c r="AX38" i="103"/>
  <c r="BD38" i="103" s="1"/>
  <c r="BF38" i="103" s="1"/>
  <c r="AP38" i="103"/>
  <c r="L27" i="76"/>
  <c r="F23" i="92"/>
  <c r="O98" i="77"/>
  <c r="A32" i="78"/>
  <c r="AL66" i="103"/>
  <c r="AZ66" i="103" s="1"/>
  <c r="X66" i="103"/>
  <c r="L18" i="102"/>
  <c r="M18" i="102" s="1"/>
  <c r="F142" i="80"/>
  <c r="M27" i="76"/>
  <c r="P52" i="76"/>
  <c r="A103" i="76"/>
  <c r="R103" i="76" s="1"/>
  <c r="R102" i="76"/>
  <c r="E112" i="77"/>
  <c r="E115" i="77"/>
  <c r="E118" i="77"/>
  <c r="E121" i="77"/>
  <c r="N27" i="76"/>
  <c r="P77" i="76"/>
  <c r="F135" i="80"/>
  <c r="J53" i="75"/>
  <c r="A43" i="76"/>
  <c r="R42" i="76"/>
  <c r="J91" i="75"/>
  <c r="P14" i="76"/>
  <c r="P27" i="76" s="1"/>
  <c r="E19" i="47" s="1"/>
  <c r="R16" i="76"/>
  <c r="A66" i="76"/>
  <c r="R65" i="76"/>
  <c r="F56" i="79"/>
  <c r="F140" i="80"/>
  <c r="I21" i="78"/>
  <c r="A114" i="77"/>
  <c r="Q113" i="77"/>
  <c r="Q13" i="102"/>
  <c r="F27" i="76"/>
  <c r="O15" i="77"/>
  <c r="J14" i="79"/>
  <c r="A15" i="79"/>
  <c r="E86" i="80"/>
  <c r="A82" i="80"/>
  <c r="I83" i="80" s="1"/>
  <c r="N81" i="80"/>
  <c r="G18" i="72"/>
  <c r="I18" i="72" s="1"/>
  <c r="D110" i="77"/>
  <c r="P76" i="77"/>
  <c r="P13" i="73"/>
  <c r="F13" i="78"/>
  <c r="I87" i="77"/>
  <c r="F133" i="80"/>
  <c r="F139" i="80"/>
  <c r="G27" i="76"/>
  <c r="A12" i="78"/>
  <c r="Q11" i="78"/>
  <c r="F138" i="80"/>
  <c r="A39" i="79"/>
  <c r="J38" i="79"/>
  <c r="A97" i="80"/>
  <c r="N95" i="80"/>
  <c r="A12" i="81"/>
  <c r="D7" i="81"/>
  <c r="AL34" i="103"/>
  <c r="AL13" i="103" s="1"/>
  <c r="AZ35" i="103"/>
  <c r="AZ34" i="103" s="1"/>
  <c r="AZ13" i="103" s="1"/>
  <c r="AP35" i="103"/>
  <c r="BB83" i="103"/>
  <c r="AP83" i="103"/>
  <c r="G119" i="80"/>
  <c r="AN34" i="103"/>
  <c r="AN13" i="103" s="1"/>
  <c r="BB35" i="103"/>
  <c r="BB34" i="103" s="1"/>
  <c r="BB13" i="103" s="1"/>
  <c r="F8" i="81"/>
  <c r="A56" i="83"/>
  <c r="K55" i="83"/>
  <c r="AX53" i="103"/>
  <c r="BD53" i="103" s="1"/>
  <c r="BF53" i="103" s="1"/>
  <c r="AP53" i="103"/>
  <c r="AL63" i="103"/>
  <c r="AZ63" i="103" s="1"/>
  <c r="X63" i="103"/>
  <c r="BF107" i="103"/>
  <c r="F110" i="77"/>
  <c r="F113" i="77"/>
  <c r="F116" i="77"/>
  <c r="F119" i="77"/>
  <c r="F13" i="82"/>
  <c r="A13" i="82"/>
  <c r="G12" i="82"/>
  <c r="A15" i="103"/>
  <c r="BH14" i="103"/>
  <c r="AX29" i="103"/>
  <c r="BD29" i="103" s="1"/>
  <c r="BF29" i="103" s="1"/>
  <c r="AP29" i="103"/>
  <c r="AP26" i="103" s="1"/>
  <c r="AZ31" i="103"/>
  <c r="AZ26" i="103" s="1"/>
  <c r="AZ12" i="103" s="1"/>
  <c r="AP31" i="103"/>
  <c r="BF48" i="103"/>
  <c r="AX58" i="103"/>
  <c r="BD58" i="103" s="1"/>
  <c r="BF58" i="103" s="1"/>
  <c r="AP58" i="103"/>
  <c r="AZ60" i="103"/>
  <c r="AP60" i="103"/>
  <c r="A135" i="80"/>
  <c r="N134" i="80"/>
  <c r="K48" i="83"/>
  <c r="BF129" i="103"/>
  <c r="BF127" i="103"/>
  <c r="BF22" i="103" s="1"/>
  <c r="BF125" i="103"/>
  <c r="BF126" i="103"/>
  <c r="BF21" i="103" s="1"/>
  <c r="BF128" i="103"/>
  <c r="BF44" i="103"/>
  <c r="BF74" i="103"/>
  <c r="Q77" i="77"/>
  <c r="A34" i="80"/>
  <c r="N33" i="80"/>
  <c r="BF27" i="103"/>
  <c r="Q14" i="77"/>
  <c r="Q30" i="78"/>
  <c r="D43" i="80"/>
  <c r="E44" i="80" s="1"/>
  <c r="X16" i="103"/>
  <c r="A45" i="103"/>
  <c r="BH44" i="103"/>
  <c r="BD68" i="103"/>
  <c r="BF68" i="103" s="1"/>
  <c r="X75" i="103"/>
  <c r="F111" i="77"/>
  <c r="F114" i="77"/>
  <c r="F117" i="77"/>
  <c r="Q130" i="77"/>
  <c r="N78" i="80"/>
  <c r="A34" i="83"/>
  <c r="K27" i="83"/>
  <c r="AZ43" i="103"/>
  <c r="AP43" i="103"/>
  <c r="AX71" i="103"/>
  <c r="BD71" i="103" s="1"/>
  <c r="BF71" i="103" s="1"/>
  <c r="AP71" i="103"/>
  <c r="A114" i="80"/>
  <c r="N113" i="80"/>
  <c r="I161" i="80"/>
  <c r="AX26" i="103"/>
  <c r="AX12" i="103" s="1"/>
  <c r="X14" i="103"/>
  <c r="X69" i="103"/>
  <c r="AL69" i="103"/>
  <c r="AZ69" i="103" s="1"/>
  <c r="AX51" i="103"/>
  <c r="BD51" i="103" s="1"/>
  <c r="BF51" i="103" s="1"/>
  <c r="AP51" i="103"/>
  <c r="AP69" i="103"/>
  <c r="AX69" i="103"/>
  <c r="BD75" i="103"/>
  <c r="BF75" i="103" s="1"/>
  <c r="AX78" i="103"/>
  <c r="BD78" i="103" s="1"/>
  <c r="BF78" i="103" s="1"/>
  <c r="AP78" i="103"/>
  <c r="AP110" i="103"/>
  <c r="AN42" i="103"/>
  <c r="AN14" i="103" s="1"/>
  <c r="BB43" i="103"/>
  <c r="BB42" i="103" s="1"/>
  <c r="BB14" i="103" s="1"/>
  <c r="AX56" i="103"/>
  <c r="BD56" i="103" s="1"/>
  <c r="BF56" i="103" s="1"/>
  <c r="AP56" i="103"/>
  <c r="BD60" i="103"/>
  <c r="BF60" i="103" s="1"/>
  <c r="AX63" i="103"/>
  <c r="BD63" i="103" s="1"/>
  <c r="BF63" i="103" s="1"/>
  <c r="AX66" i="103"/>
  <c r="AP66" i="103"/>
  <c r="BD73" i="103"/>
  <c r="BF73" i="103" s="1"/>
  <c r="BD31" i="103"/>
  <c r="BF31" i="103" s="1"/>
  <c r="AJ34" i="103"/>
  <c r="AJ13" i="103" s="1"/>
  <c r="AX36" i="103"/>
  <c r="BF39" i="103"/>
  <c r="BD45" i="103"/>
  <c r="BF45" i="103" s="1"/>
  <c r="AL89" i="103"/>
  <c r="AZ89" i="103" s="1"/>
  <c r="BD89" i="103" s="1"/>
  <c r="BF89" i="103" s="1"/>
  <c r="X89" i="103"/>
  <c r="BD92" i="103"/>
  <c r="BF92" i="103" s="1"/>
  <c r="BF121" i="103"/>
  <c r="N12" i="80"/>
  <c r="N94" i="80"/>
  <c r="F7" i="81"/>
  <c r="BD47" i="103"/>
  <c r="BF47" i="103" s="1"/>
  <c r="AP49" i="103"/>
  <c r="AX54" i="103"/>
  <c r="BD54" i="103" s="1"/>
  <c r="BF54" i="103" s="1"/>
  <c r="AP54" i="103"/>
  <c r="AX61" i="103"/>
  <c r="BD61" i="103" s="1"/>
  <c r="BF61" i="103" s="1"/>
  <c r="AP61" i="103"/>
  <c r="AN105" i="103"/>
  <c r="BB105" i="103" s="1"/>
  <c r="X105" i="103"/>
  <c r="A13" i="80"/>
  <c r="BD49" i="103"/>
  <c r="BF49" i="103" s="1"/>
  <c r="AL61" i="103"/>
  <c r="AZ61" i="103" s="1"/>
  <c r="X64" i="103"/>
  <c r="X67" i="103"/>
  <c r="BD105" i="103"/>
  <c r="BF105" i="103" s="1"/>
  <c r="BF119" i="103"/>
  <c r="AB17" i="103"/>
  <c r="AB23" i="103" s="1"/>
  <c r="AP36" i="103"/>
  <c r="AP39" i="103"/>
  <c r="AX52" i="103"/>
  <c r="BD52" i="103" s="1"/>
  <c r="BF52" i="103" s="1"/>
  <c r="AP52" i="103"/>
  <c r="AX59" i="103"/>
  <c r="BD59" i="103" s="1"/>
  <c r="BF59" i="103" s="1"/>
  <c r="AP59" i="103"/>
  <c r="AX64" i="103"/>
  <c r="BD64" i="103" s="1"/>
  <c r="BF64" i="103" s="1"/>
  <c r="AP64" i="103"/>
  <c r="AX67" i="103"/>
  <c r="BD67" i="103" s="1"/>
  <c r="BF67" i="103" s="1"/>
  <c r="AP67" i="103"/>
  <c r="AX70" i="103"/>
  <c r="BD70" i="103" s="1"/>
  <c r="BF70" i="103" s="1"/>
  <c r="AP70" i="103"/>
  <c r="BF82" i="103"/>
  <c r="AJ26" i="103"/>
  <c r="AJ12" i="103" s="1"/>
  <c r="AP28" i="103"/>
  <c r="BD37" i="103"/>
  <c r="BF37" i="103" s="1"/>
  <c r="AP57" i="103"/>
  <c r="AX57" i="103"/>
  <c r="BD57" i="103" s="1"/>
  <c r="BF57" i="103" s="1"/>
  <c r="AP72" i="103"/>
  <c r="BD84" i="103"/>
  <c r="BF84" i="103" s="1"/>
  <c r="AL87" i="103"/>
  <c r="AZ87" i="103" s="1"/>
  <c r="X87" i="103"/>
  <c r="AX97" i="103"/>
  <c r="BD97" i="103" s="1"/>
  <c r="BF97" i="103" s="1"/>
  <c r="AP97" i="103"/>
  <c r="AN116" i="103"/>
  <c r="AN16" i="103" s="1"/>
  <c r="BB117" i="103"/>
  <c r="BB116" i="103" s="1"/>
  <c r="BB16" i="103" s="1"/>
  <c r="AP117" i="103"/>
  <c r="F41" i="82"/>
  <c r="A41" i="82"/>
  <c r="G40" i="82"/>
  <c r="AL26" i="103"/>
  <c r="AL12" i="103" s="1"/>
  <c r="AJ42" i="103"/>
  <c r="AJ14" i="103" s="1"/>
  <c r="AX50" i="103"/>
  <c r="BD50" i="103" s="1"/>
  <c r="BF50" i="103" s="1"/>
  <c r="AP50" i="103"/>
  <c r="AZ68" i="103"/>
  <c r="AP68" i="103"/>
  <c r="BD72" i="103"/>
  <c r="BF72" i="103" s="1"/>
  <c r="BF90" i="103"/>
  <c r="AZ95" i="103"/>
  <c r="BD95" i="103" s="1"/>
  <c r="BF95" i="103" s="1"/>
  <c r="AP95" i="103"/>
  <c r="A104" i="103"/>
  <c r="BH103" i="103"/>
  <c r="BD117" i="103"/>
  <c r="AX116" i="103"/>
  <c r="AX16" i="103" s="1"/>
  <c r="AR23" i="103"/>
  <c r="AN26" i="103"/>
  <c r="AN12" i="103" s="1"/>
  <c r="BD30" i="103"/>
  <c r="BF30" i="103" s="1"/>
  <c r="AP46" i="103"/>
  <c r="AX55" i="103"/>
  <c r="BD55" i="103" s="1"/>
  <c r="BF55" i="103" s="1"/>
  <c r="AP55" i="103"/>
  <c r="AX62" i="103"/>
  <c r="BD62" i="103" s="1"/>
  <c r="BF62" i="103" s="1"/>
  <c r="AP62" i="103"/>
  <c r="X65" i="103"/>
  <c r="X68" i="103"/>
  <c r="BF81" i="103"/>
  <c r="BD93" i="103"/>
  <c r="BF93" i="103" s="1"/>
  <c r="BH13" i="103"/>
  <c r="AX87" i="103"/>
  <c r="BD87" i="103" s="1"/>
  <c r="BF87" i="103" s="1"/>
  <c r="AP87" i="103"/>
  <c r="V102" i="103"/>
  <c r="V15" i="103" s="1"/>
  <c r="AJ116" i="103"/>
  <c r="AJ16" i="103" s="1"/>
  <c r="AX118" i="103"/>
  <c r="BD83" i="103"/>
  <c r="BF83" i="103" s="1"/>
  <c r="AN106" i="103"/>
  <c r="BB106" i="103" s="1"/>
  <c r="X106" i="103"/>
  <c r="BD108" i="103"/>
  <c r="BF108" i="103" s="1"/>
  <c r="BD110" i="103"/>
  <c r="BF110" i="103" s="1"/>
  <c r="AL116" i="103"/>
  <c r="AL16" i="103" s="1"/>
  <c r="AZ118" i="103"/>
  <c r="AZ116" i="103" s="1"/>
  <c r="AZ16" i="103" s="1"/>
  <c r="X77" i="103"/>
  <c r="AL80" i="103"/>
  <c r="X80" i="103"/>
  <c r="BD106" i="103"/>
  <c r="BF106" i="103" s="1"/>
  <c r="AP120" i="103"/>
  <c r="AL126" i="103"/>
  <c r="AZ126" i="103" s="1"/>
  <c r="X126" i="103"/>
  <c r="X124" i="103" s="1"/>
  <c r="BB95" i="104"/>
  <c r="AR95" i="104"/>
  <c r="BH43" i="103"/>
  <c r="AP75" i="103"/>
  <c r="AX77" i="103"/>
  <c r="BD77" i="103" s="1"/>
  <c r="BF77" i="103" s="1"/>
  <c r="AP77" i="103"/>
  <c r="AP85" i="103"/>
  <c r="AZ98" i="103"/>
  <c r="BD98" i="103" s="1"/>
  <c r="BF98" i="103" s="1"/>
  <c r="AP98" i="103"/>
  <c r="AZ102" i="103"/>
  <c r="AZ15" i="103" s="1"/>
  <c r="BB112" i="103"/>
  <c r="AP112" i="103"/>
  <c r="AP118" i="103"/>
  <c r="BD120" i="103"/>
  <c r="BF120" i="103" s="1"/>
  <c r="AP126" i="103"/>
  <c r="AX126" i="103"/>
  <c r="BD126" i="103" s="1"/>
  <c r="AJ124" i="103"/>
  <c r="AJ20" i="103" s="1"/>
  <c r="G49" i="82"/>
  <c r="AZ92" i="103"/>
  <c r="BD112" i="103"/>
  <c r="A119" i="103"/>
  <c r="BH118" i="103"/>
  <c r="A44" i="104"/>
  <c r="BJ43" i="104"/>
  <c r="A50" i="82"/>
  <c r="BH30" i="103"/>
  <c r="BH35" i="103"/>
  <c r="A37" i="103"/>
  <c r="AZ79" i="103"/>
  <c r="BD79" i="103" s="1"/>
  <c r="BF79" i="103" s="1"/>
  <c r="AP79" i="103"/>
  <c r="BD88" i="103"/>
  <c r="BF88" i="103" s="1"/>
  <c r="AL99" i="103"/>
  <c r="AZ99" i="103" s="1"/>
  <c r="X99" i="103"/>
  <c r="AN104" i="103"/>
  <c r="BB104" i="103" s="1"/>
  <c r="X104" i="103"/>
  <c r="AP109" i="103"/>
  <c r="BB109" i="103"/>
  <c r="BD109" i="103" s="1"/>
  <c r="BF109" i="103" s="1"/>
  <c r="A15" i="104"/>
  <c r="BJ14" i="104"/>
  <c r="AP96" i="103"/>
  <c r="AX99" i="103"/>
  <c r="BD104" i="103"/>
  <c r="BF104" i="103" s="1"/>
  <c r="BF22" i="104"/>
  <c r="R26" i="103"/>
  <c r="R12" i="103" s="1"/>
  <c r="X29" i="103"/>
  <c r="X26" i="103" s="1"/>
  <c r="X36" i="103"/>
  <c r="X37" i="103"/>
  <c r="X38" i="103"/>
  <c r="X39" i="103"/>
  <c r="AP45" i="103"/>
  <c r="X47" i="103"/>
  <c r="AP74" i="103"/>
  <c r="BD86" i="103"/>
  <c r="BF86" i="103" s="1"/>
  <c r="BF94" i="103"/>
  <c r="BD96" i="103"/>
  <c r="BF96" i="103" s="1"/>
  <c r="AH17" i="104"/>
  <c r="AH23" i="104" s="1"/>
  <c r="BB68" i="104"/>
  <c r="BF68" i="104" s="1"/>
  <c r="BH68" i="104" s="1"/>
  <c r="AR68" i="104"/>
  <c r="AX76" i="103"/>
  <c r="BD76" i="103" s="1"/>
  <c r="BF76" i="103" s="1"/>
  <c r="AP76" i="103"/>
  <c r="AP111" i="103"/>
  <c r="AP119" i="103"/>
  <c r="AP121" i="103"/>
  <c r="A126" i="103"/>
  <c r="BH125" i="103"/>
  <c r="BD129" i="103"/>
  <c r="V42" i="104"/>
  <c r="V14" i="104" s="1"/>
  <c r="Z14" i="104" s="1"/>
  <c r="BF51" i="104"/>
  <c r="BH51" i="104" s="1"/>
  <c r="BF55" i="104"/>
  <c r="BH55" i="104" s="1"/>
  <c r="AZ64" i="104"/>
  <c r="BF64" i="104" s="1"/>
  <c r="BH64" i="104" s="1"/>
  <c r="AR64" i="104"/>
  <c r="AT17" i="104"/>
  <c r="AT23" i="104" s="1"/>
  <c r="BF46" i="104"/>
  <c r="BH46" i="104" s="1"/>
  <c r="BB51" i="104"/>
  <c r="AR51" i="104"/>
  <c r="BF74" i="104"/>
  <c r="BH74" i="104" s="1"/>
  <c r="BB87" i="104"/>
  <c r="BF87" i="104" s="1"/>
  <c r="BH87" i="104" s="1"/>
  <c r="AR87" i="104"/>
  <c r="BF108" i="104"/>
  <c r="BH108" i="104" s="1"/>
  <c r="AP129" i="103"/>
  <c r="V17" i="104"/>
  <c r="V23" i="104" s="1"/>
  <c r="AN54" i="104"/>
  <c r="BB54" i="104" s="1"/>
  <c r="Z54" i="104"/>
  <c r="AZ123" i="104"/>
  <c r="BF124" i="104"/>
  <c r="AL28" i="104"/>
  <c r="T26" i="104"/>
  <c r="T12" i="104" s="1"/>
  <c r="A37" i="104"/>
  <c r="BJ36" i="104"/>
  <c r="BB56" i="104"/>
  <c r="AR56" i="104"/>
  <c r="X91" i="103"/>
  <c r="AN103" i="103"/>
  <c r="X108" i="103"/>
  <c r="AX125" i="103"/>
  <c r="Z28" i="104"/>
  <c r="AZ37" i="104"/>
  <c r="BF37" i="104" s="1"/>
  <c r="BH37" i="104" s="1"/>
  <c r="AR37" i="104"/>
  <c r="AL39" i="104"/>
  <c r="Z39" i="104"/>
  <c r="Z34" i="104" s="1"/>
  <c r="AZ52" i="104"/>
  <c r="BF52" i="104" s="1"/>
  <c r="BH52" i="104" s="1"/>
  <c r="AR52" i="104"/>
  <c r="BF62" i="104"/>
  <c r="BH62" i="104" s="1"/>
  <c r="BB67" i="104"/>
  <c r="BF67" i="104" s="1"/>
  <c r="BH67" i="104" s="1"/>
  <c r="AR67" i="104"/>
  <c r="BF81" i="104"/>
  <c r="BH81" i="104" s="1"/>
  <c r="AZ94" i="104"/>
  <c r="BF94" i="104" s="1"/>
  <c r="BH94" i="104" s="1"/>
  <c r="AR94" i="104"/>
  <c r="AP88" i="103"/>
  <c r="X92" i="103"/>
  <c r="AP103" i="103"/>
  <c r="X109" i="103"/>
  <c r="AL125" i="103"/>
  <c r="AP125" i="103" s="1"/>
  <c r="AL128" i="103"/>
  <c r="X128" i="103"/>
  <c r="BD42" i="104"/>
  <c r="BD14" i="104" s="1"/>
  <c r="AR49" i="104"/>
  <c r="BF54" i="104"/>
  <c r="BH54" i="104" s="1"/>
  <c r="BF70" i="104"/>
  <c r="BH70" i="104" s="1"/>
  <c r="BF72" i="104"/>
  <c r="BH72" i="104" s="1"/>
  <c r="BF75" i="104"/>
  <c r="BH75" i="104" s="1"/>
  <c r="BF79" i="104"/>
  <c r="BH79" i="104" s="1"/>
  <c r="AP89" i="103"/>
  <c r="X93" i="103"/>
  <c r="AX103" i="103"/>
  <c r="AP105" i="103"/>
  <c r="AP106" i="103"/>
  <c r="X110" i="103"/>
  <c r="X102" i="103" s="1"/>
  <c r="BH117" i="103"/>
  <c r="N17" i="104"/>
  <c r="N23" i="104" s="1"/>
  <c r="AR30" i="104"/>
  <c r="BF56" i="104"/>
  <c r="BH56" i="104" s="1"/>
  <c r="AN88" i="104"/>
  <c r="BB88" i="104" s="1"/>
  <c r="Z88" i="104"/>
  <c r="BF90" i="104"/>
  <c r="BH90" i="104" s="1"/>
  <c r="BD111" i="104"/>
  <c r="BF111" i="104" s="1"/>
  <c r="AR111" i="104"/>
  <c r="AP90" i="103"/>
  <c r="AP107" i="103"/>
  <c r="AV17" i="104"/>
  <c r="AV23" i="104" s="1"/>
  <c r="BB34" i="104"/>
  <c r="BB13" i="104" s="1"/>
  <c r="BB44" i="104"/>
  <c r="AR44" i="104"/>
  <c r="AR60" i="104"/>
  <c r="AP91" i="103"/>
  <c r="AP108" i="103"/>
  <c r="AX17" i="104"/>
  <c r="AX23" i="104" s="1"/>
  <c r="A29" i="104"/>
  <c r="BD35" i="104"/>
  <c r="BD34" i="104" s="1"/>
  <c r="BD13" i="104" s="1"/>
  <c r="AP34" i="104"/>
  <c r="AP13" i="104" s="1"/>
  <c r="BB55" i="104"/>
  <c r="AR55" i="104"/>
  <c r="BB86" i="104"/>
  <c r="BF86" i="104" s="1"/>
  <c r="BH86" i="104" s="1"/>
  <c r="AR86" i="104"/>
  <c r="X118" i="103"/>
  <c r="X116" i="103" s="1"/>
  <c r="AL29" i="104"/>
  <c r="Z29" i="104"/>
  <c r="Z26" i="104" s="1"/>
  <c r="BF31" i="104"/>
  <c r="BH31" i="104" s="1"/>
  <c r="BJ35" i="104"/>
  <c r="AP42" i="104"/>
  <c r="AP14" i="104" s="1"/>
  <c r="BF58" i="104"/>
  <c r="BH58" i="104" s="1"/>
  <c r="BF60" i="104"/>
  <c r="BH60" i="104" s="1"/>
  <c r="BB63" i="104"/>
  <c r="BF63" i="104" s="1"/>
  <c r="BH63" i="104" s="1"/>
  <c r="AR63" i="104"/>
  <c r="BF71" i="104"/>
  <c r="BH71" i="104" s="1"/>
  <c r="A107" i="104"/>
  <c r="BJ106" i="104"/>
  <c r="AL26" i="104"/>
  <c r="AL12" i="104" s="1"/>
  <c r="AZ27" i="104"/>
  <c r="AN34" i="104"/>
  <c r="AN13" i="104" s="1"/>
  <c r="AZ36" i="104"/>
  <c r="BF36" i="104" s="1"/>
  <c r="BH36" i="104" s="1"/>
  <c r="AR36" i="104"/>
  <c r="BF44" i="104"/>
  <c r="BH44" i="104" s="1"/>
  <c r="AL42" i="104"/>
  <c r="AL14" i="104" s="1"/>
  <c r="AN66" i="104"/>
  <c r="BB66" i="104" s="1"/>
  <c r="BF66" i="104" s="1"/>
  <c r="BH66" i="104" s="1"/>
  <c r="Z66" i="104"/>
  <c r="BF82" i="104"/>
  <c r="BH82" i="104" s="1"/>
  <c r="AZ93" i="104"/>
  <c r="BF93" i="104" s="1"/>
  <c r="BH93" i="104" s="1"/>
  <c r="AR93" i="104"/>
  <c r="BF95" i="104"/>
  <c r="BH95" i="104" s="1"/>
  <c r="AL34" i="104"/>
  <c r="AL13" i="104" s="1"/>
  <c r="AR13" i="104" s="1"/>
  <c r="BH110" i="104"/>
  <c r="AZ119" i="104"/>
  <c r="BF119" i="104" s="1"/>
  <c r="BH119" i="104" s="1"/>
  <c r="AR119" i="104"/>
  <c r="A13" i="84"/>
  <c r="Q12" i="84"/>
  <c r="A33" i="86"/>
  <c r="K33" i="86" s="1"/>
  <c r="K32" i="86"/>
  <c r="Z72" i="104"/>
  <c r="Z77" i="104"/>
  <c r="Z78" i="104"/>
  <c r="Z79" i="104"/>
  <c r="A119" i="104"/>
  <c r="BJ118" i="104"/>
  <c r="K28" i="85"/>
  <c r="F37" i="85"/>
  <c r="K37" i="85" s="1"/>
  <c r="E17" i="87"/>
  <c r="F20" i="87"/>
  <c r="K9" i="89"/>
  <c r="F22" i="89"/>
  <c r="AZ21" i="104"/>
  <c r="BF21" i="104" s="1"/>
  <c r="Z49" i="104"/>
  <c r="Z61" i="104"/>
  <c r="AR77" i="104"/>
  <c r="AN80" i="104"/>
  <c r="X102" i="104"/>
  <c r="X15" i="104" s="1"/>
  <c r="Z15" i="104" s="1"/>
  <c r="AP103" i="104"/>
  <c r="AR103" i="104" s="1"/>
  <c r="BF128" i="104"/>
  <c r="BH128" i="104" s="1"/>
  <c r="AR46" i="104"/>
  <c r="AZ76" i="104"/>
  <c r="BF76" i="104" s="1"/>
  <c r="BH76" i="104" s="1"/>
  <c r="AR76" i="104"/>
  <c r="BF85" i="104"/>
  <c r="BH85" i="104" s="1"/>
  <c r="BF97" i="104"/>
  <c r="BH97" i="104" s="1"/>
  <c r="Z102" i="104"/>
  <c r="BF117" i="104"/>
  <c r="BH117" i="104" s="1"/>
  <c r="AR47" i="104"/>
  <c r="AR59" i="104"/>
  <c r="BF84" i="104"/>
  <c r="BH84" i="104" s="1"/>
  <c r="AZ103" i="104"/>
  <c r="BF109" i="104"/>
  <c r="BH109" i="104" s="1"/>
  <c r="AZ120" i="104"/>
  <c r="BF120" i="104" s="1"/>
  <c r="BH120" i="104" s="1"/>
  <c r="AR120" i="104"/>
  <c r="A126" i="104"/>
  <c r="BJ125" i="104"/>
  <c r="BF126" i="104"/>
  <c r="BH126" i="104" s="1"/>
  <c r="BH22" i="104" s="1"/>
  <c r="K10" i="84"/>
  <c r="T34" i="104"/>
  <c r="T13" i="104" s="1"/>
  <c r="Z13" i="104" s="1"/>
  <c r="Z52" i="104"/>
  <c r="Z64" i="104"/>
  <c r="AZ77" i="104"/>
  <c r="BF77" i="104" s="1"/>
  <c r="BH77" i="104" s="1"/>
  <c r="BD27" i="104"/>
  <c r="BD26" i="104" s="1"/>
  <c r="BD12" i="104" s="1"/>
  <c r="AR35" i="104"/>
  <c r="AR50" i="104"/>
  <c r="AR62" i="104"/>
  <c r="AR74" i="104"/>
  <c r="AR75" i="104"/>
  <c r="AR89" i="104"/>
  <c r="AR96" i="104"/>
  <c r="AR108" i="104"/>
  <c r="A8" i="85"/>
  <c r="N7" i="85"/>
  <c r="AZ88" i="104"/>
  <c r="BF88" i="104" s="1"/>
  <c r="BH88" i="104" s="1"/>
  <c r="AR88" i="104"/>
  <c r="BB107" i="104"/>
  <c r="BF107" i="104" s="1"/>
  <c r="BH107" i="104" s="1"/>
  <c r="AN102" i="104"/>
  <c r="AN15" i="104" s="1"/>
  <c r="BD123" i="104"/>
  <c r="K23" i="85"/>
  <c r="F27" i="85" s="1"/>
  <c r="F17" i="87"/>
  <c r="C28" i="87" s="1"/>
  <c r="Z44" i="104"/>
  <c r="Z56" i="104"/>
  <c r="Z68" i="104"/>
  <c r="Z86" i="104"/>
  <c r="AR90" i="104"/>
  <c r="AR91" i="104"/>
  <c r="AR92" i="104"/>
  <c r="AP105" i="104"/>
  <c r="Z105" i="104"/>
  <c r="BF127" i="104"/>
  <c r="BH127" i="104" s="1"/>
  <c r="K22" i="86"/>
  <c r="A23" i="86"/>
  <c r="K47" i="86"/>
  <c r="A48" i="86"/>
  <c r="G53" i="89"/>
  <c r="BJ27" i="104"/>
  <c r="AR38" i="104"/>
  <c r="AN43" i="104"/>
  <c r="AR53" i="104"/>
  <c r="AR65" i="104"/>
  <c r="AZ89" i="104"/>
  <c r="BF89" i="104" s="1"/>
  <c r="BH89" i="104" s="1"/>
  <c r="AR107" i="104"/>
  <c r="AN115" i="104"/>
  <c r="AN16" i="104" s="1"/>
  <c r="L22" i="84"/>
  <c r="AZ99" i="104"/>
  <c r="BF99" i="104" s="1"/>
  <c r="BH99" i="104" s="1"/>
  <c r="AR99" i="104"/>
  <c r="AP115" i="104"/>
  <c r="AP16" i="104" s="1"/>
  <c r="BD118" i="104"/>
  <c r="BD115" i="104" s="1"/>
  <c r="BD16" i="104" s="1"/>
  <c r="BF125" i="104"/>
  <c r="BH125" i="104" s="1"/>
  <c r="BH21" i="104" s="1"/>
  <c r="F45" i="92"/>
  <c r="BB116" i="104"/>
  <c r="BB115" i="104" s="1"/>
  <c r="BB16" i="104" s="1"/>
  <c r="AR118" i="104"/>
  <c r="AR121" i="104"/>
  <c r="J10" i="84"/>
  <c r="L11" i="84"/>
  <c r="L23" i="84"/>
  <c r="K30" i="86"/>
  <c r="A17" i="105"/>
  <c r="N15" i="105"/>
  <c r="I40" i="106"/>
  <c r="K40" i="85"/>
  <c r="K46" i="86"/>
  <c r="G20" i="87"/>
  <c r="D15" i="89"/>
  <c r="A50" i="89"/>
  <c r="K49" i="89"/>
  <c r="G14" i="92"/>
  <c r="A14" i="92"/>
  <c r="I13" i="92"/>
  <c r="G24" i="106"/>
  <c r="G42" i="106" s="1"/>
  <c r="G54" i="106" s="1"/>
  <c r="A16" i="86"/>
  <c r="K21" i="86"/>
  <c r="K31" i="86"/>
  <c r="A9" i="90"/>
  <c r="F8" i="90"/>
  <c r="I24" i="106"/>
  <c r="I51" i="106"/>
  <c r="AL123" i="104"/>
  <c r="AL20" i="104" s="1"/>
  <c r="BJ124" i="104"/>
  <c r="A37" i="86"/>
  <c r="A38" i="87"/>
  <c r="G37" i="87"/>
  <c r="A33" i="89"/>
  <c r="K32" i="89"/>
  <c r="A30" i="85"/>
  <c r="N29" i="85"/>
  <c r="A22" i="87"/>
  <c r="G22" i="87" s="1"/>
  <c r="G21" i="87"/>
  <c r="F15" i="89"/>
  <c r="A15" i="89"/>
  <c r="K14" i="89"/>
  <c r="L49" i="105"/>
  <c r="BJ117" i="104"/>
  <c r="I23" i="85"/>
  <c r="A52" i="85"/>
  <c r="N51" i="85"/>
  <c r="C17" i="90"/>
  <c r="C20" i="90"/>
  <c r="Z116" i="104"/>
  <c r="Z115" i="104" s="1"/>
  <c r="A9" i="87"/>
  <c r="G8" i="87"/>
  <c r="E47" i="89"/>
  <c r="E48" i="89" s="1"/>
  <c r="E49" i="89" s="1"/>
  <c r="E50" i="89" s="1"/>
  <c r="E51" i="89" s="1"/>
  <c r="E52" i="89" s="1"/>
  <c r="E53" i="89" s="1"/>
  <c r="E54" i="89" s="1"/>
  <c r="E55" i="89" s="1"/>
  <c r="E56" i="89" s="1"/>
  <c r="E57" i="89" s="1"/>
  <c r="E58" i="89" s="1"/>
  <c r="J46" i="89"/>
  <c r="I49" i="106"/>
  <c r="AL116" i="104"/>
  <c r="L16" i="84"/>
  <c r="L27" i="84"/>
  <c r="N28" i="85"/>
  <c r="E10" i="86"/>
  <c r="A32" i="87"/>
  <c r="G31" i="87"/>
  <c r="D36" i="87"/>
  <c r="Z119" i="104"/>
  <c r="AR124" i="104"/>
  <c r="AR125" i="104"/>
  <c r="AR126" i="104"/>
  <c r="AR127" i="104"/>
  <c r="AR128" i="104"/>
  <c r="A18" i="106"/>
  <c r="N16" i="106"/>
  <c r="I10" i="86"/>
  <c r="C6" i="87" s="1"/>
  <c r="A39" i="92"/>
  <c r="I38" i="92"/>
  <c r="D54" i="106"/>
  <c r="F7" i="90"/>
  <c r="D13" i="90"/>
  <c r="E54" i="106"/>
  <c r="K8" i="89"/>
  <c r="F54" i="106"/>
  <c r="L54" i="106"/>
  <c r="F15" i="88"/>
  <c r="F9" i="94"/>
  <c r="A10" i="94"/>
  <c r="K48" i="89"/>
  <c r="I12" i="92"/>
  <c r="I37" i="92"/>
  <c r="K9" i="47" l="1"/>
  <c r="E71" i="47"/>
  <c r="K71" i="47" s="1"/>
  <c r="F122" i="77"/>
  <c r="E37" i="1"/>
  <c r="E47" i="1"/>
  <c r="E102" i="80"/>
  <c r="A98" i="80"/>
  <c r="N97" i="80"/>
  <c r="BD16" i="103"/>
  <c r="AL42" i="103"/>
  <c r="AL14" i="103" s="1"/>
  <c r="A46" i="103"/>
  <c r="BH45" i="103"/>
  <c r="G118" i="80"/>
  <c r="F130" i="77"/>
  <c r="H119" i="77"/>
  <c r="H116" i="77"/>
  <c r="H113" i="77"/>
  <c r="H110" i="77"/>
  <c r="H121" i="77"/>
  <c r="H118" i="77"/>
  <c r="H115" i="77"/>
  <c r="H112" i="77"/>
  <c r="H120" i="77"/>
  <c r="H117" i="77"/>
  <c r="H114" i="77"/>
  <c r="H111" i="77"/>
  <c r="A19" i="76"/>
  <c r="R18" i="76"/>
  <c r="A19" i="69"/>
  <c r="Q17" i="69"/>
  <c r="Q15" i="73"/>
  <c r="A41" i="73"/>
  <c r="R40" i="73"/>
  <c r="A83" i="1"/>
  <c r="H80" i="1"/>
  <c r="C108" i="5"/>
  <c r="C44" i="5"/>
  <c r="P25" i="73"/>
  <c r="E7" i="47" s="1"/>
  <c r="A15" i="47"/>
  <c r="H14" i="47"/>
  <c r="F10" i="94"/>
  <c r="D12" i="94"/>
  <c r="A11" i="94"/>
  <c r="Z42" i="104"/>
  <c r="A127" i="104"/>
  <c r="BJ126" i="104"/>
  <c r="BB43" i="104"/>
  <c r="AR43" i="104"/>
  <c r="AN42" i="104"/>
  <c r="AN14" i="104" s="1"/>
  <c r="AN17" i="104" s="1"/>
  <c r="AN23" i="104" s="1"/>
  <c r="BF35" i="104"/>
  <c r="F52" i="82"/>
  <c r="A52" i="82"/>
  <c r="G52" i="82" s="1"/>
  <c r="G50" i="82"/>
  <c r="X34" i="103"/>
  <c r="A40" i="92"/>
  <c r="I39" i="92"/>
  <c r="A10" i="90"/>
  <c r="F9" i="90"/>
  <c r="A51" i="89"/>
  <c r="K50" i="89"/>
  <c r="L10" i="84"/>
  <c r="AR39" i="104"/>
  <c r="AZ39" i="104"/>
  <c r="BF39" i="104" s="1"/>
  <c r="BH39" i="104" s="1"/>
  <c r="A45" i="104"/>
  <c r="BJ44" i="104"/>
  <c r="BF117" i="103"/>
  <c r="AX42" i="103"/>
  <c r="AX14" i="103" s="1"/>
  <c r="BD36" i="103"/>
  <c r="BF36" i="103" s="1"/>
  <c r="AX34" i="103"/>
  <c r="AX13" i="103" s="1"/>
  <c r="BD13" i="103" s="1"/>
  <c r="H13" i="78"/>
  <c r="J13" i="78" s="1"/>
  <c r="M13" i="78"/>
  <c r="A67" i="76"/>
  <c r="R66" i="76"/>
  <c r="Q16" i="76"/>
  <c r="I119" i="77"/>
  <c r="I116" i="77"/>
  <c r="I113" i="77"/>
  <c r="I110" i="77"/>
  <c r="I121" i="77"/>
  <c r="I118" i="77"/>
  <c r="I115" i="77"/>
  <c r="I112" i="77"/>
  <c r="I120" i="77"/>
  <c r="I117" i="77"/>
  <c r="I114" i="77"/>
  <c r="I111" i="77"/>
  <c r="A18" i="102"/>
  <c r="Q18" i="102" s="1"/>
  <c r="Q17" i="102"/>
  <c r="F144" i="80"/>
  <c r="F163" i="80" s="1"/>
  <c r="J19" i="75"/>
  <c r="A20" i="75"/>
  <c r="N18" i="102"/>
  <c r="M14" i="78"/>
  <c r="H14" i="78"/>
  <c r="J14" i="78" s="1"/>
  <c r="C57" i="5"/>
  <c r="C119" i="5"/>
  <c r="A69" i="73"/>
  <c r="R68" i="73"/>
  <c r="D39" i="87"/>
  <c r="G32" i="87"/>
  <c r="G52" i="89"/>
  <c r="BF27" i="104"/>
  <c r="A10" i="87"/>
  <c r="G10" i="87" s="1"/>
  <c r="D10" i="87"/>
  <c r="G9" i="87"/>
  <c r="A53" i="85"/>
  <c r="N52" i="85"/>
  <c r="A17" i="92"/>
  <c r="I14" i="92"/>
  <c r="AR123" i="104"/>
  <c r="K24" i="106"/>
  <c r="K27" i="85"/>
  <c r="F30" i="85"/>
  <c r="A120" i="104"/>
  <c r="BJ120" i="104" s="1"/>
  <c r="BJ119" i="104"/>
  <c r="A35" i="80"/>
  <c r="N34" i="80"/>
  <c r="BF118" i="104"/>
  <c r="BH118" i="104" s="1"/>
  <c r="AR54" i="104"/>
  <c r="AP14" i="103"/>
  <c r="E24" i="89"/>
  <c r="D24" i="89"/>
  <c r="BD105" i="104"/>
  <c r="BF105" i="104" s="1"/>
  <c r="BH105" i="104" s="1"/>
  <c r="AR105" i="104"/>
  <c r="AR102" i="104" s="1"/>
  <c r="AR15" i="104"/>
  <c r="AZ102" i="104"/>
  <c r="AZ15" i="104" s="1"/>
  <c r="AZ42" i="104"/>
  <c r="AZ14" i="104" s="1"/>
  <c r="BB102" i="104"/>
  <c r="BB15" i="104" s="1"/>
  <c r="A38" i="104"/>
  <c r="BJ37" i="104"/>
  <c r="X12" i="103"/>
  <c r="R17" i="103"/>
  <c r="R23" i="103" s="1"/>
  <c r="AL17" i="103"/>
  <c r="BD43" i="103"/>
  <c r="AP13" i="103"/>
  <c r="BD35" i="103"/>
  <c r="A136" i="80"/>
  <c r="N135" i="80"/>
  <c r="J119" i="77"/>
  <c r="J116" i="77"/>
  <c r="J113" i="77"/>
  <c r="J110" i="77"/>
  <c r="J121" i="77"/>
  <c r="J118" i="77"/>
  <c r="J115" i="77"/>
  <c r="J112" i="77"/>
  <c r="J120" i="77"/>
  <c r="J117" i="77"/>
  <c r="J114" i="77"/>
  <c r="J111" i="77"/>
  <c r="C40" i="90"/>
  <c r="C35" i="90"/>
  <c r="C37" i="90" s="1"/>
  <c r="E7" i="1"/>
  <c r="D9" i="2"/>
  <c r="D11" i="2" s="1"/>
  <c r="G154" i="80"/>
  <c r="G153" i="80"/>
  <c r="G152" i="80"/>
  <c r="G150" i="80"/>
  <c r="G149" i="80"/>
  <c r="G161" i="80" s="1"/>
  <c r="G163" i="80" s="1"/>
  <c r="D163" i="80"/>
  <c r="G151" i="80"/>
  <c r="G159" i="80"/>
  <c r="G157" i="80"/>
  <c r="G155" i="80"/>
  <c r="G158" i="80"/>
  <c r="G160" i="80"/>
  <c r="G156" i="80"/>
  <c r="M16" i="78"/>
  <c r="H16" i="78"/>
  <c r="J16" i="78" s="1"/>
  <c r="E84" i="47"/>
  <c r="K84" i="47" s="1"/>
  <c r="E130" i="1"/>
  <c r="A94" i="75"/>
  <c r="J93" i="75"/>
  <c r="H40" i="1"/>
  <c r="A41" i="1"/>
  <c r="F61" i="47"/>
  <c r="A66" i="47"/>
  <c r="H63" i="47"/>
  <c r="F7" i="71"/>
  <c r="K42" i="71"/>
  <c r="R15" i="73"/>
  <c r="A16" i="73"/>
  <c r="F34" i="89"/>
  <c r="A34" i="89"/>
  <c r="K33" i="89"/>
  <c r="A36" i="83"/>
  <c r="K34" i="83"/>
  <c r="A16" i="103"/>
  <c r="BH15" i="103"/>
  <c r="A40" i="79"/>
  <c r="J39" i="79"/>
  <c r="K19" i="47"/>
  <c r="K119" i="77"/>
  <c r="K116" i="77"/>
  <c r="K113" i="77"/>
  <c r="K110" i="77"/>
  <c r="K121" i="77"/>
  <c r="K118" i="77"/>
  <c r="K115" i="77"/>
  <c r="K112" i="77"/>
  <c r="K120" i="77"/>
  <c r="K117" i="77"/>
  <c r="K114" i="77"/>
  <c r="K111" i="77"/>
  <c r="M15" i="78"/>
  <c r="J15" i="78"/>
  <c r="H15" i="78"/>
  <c r="A17" i="72"/>
  <c r="J16" i="72"/>
  <c r="K10" i="71"/>
  <c r="A11" i="71"/>
  <c r="F12" i="71"/>
  <c r="H13" i="102"/>
  <c r="E13" i="102"/>
  <c r="N17" i="102"/>
  <c r="M17" i="102"/>
  <c r="E12" i="102" s="1"/>
  <c r="H12" i="102"/>
  <c r="AR28" i="104"/>
  <c r="AR26" i="104" s="1"/>
  <c r="AZ28" i="104"/>
  <c r="BF28" i="104" s="1"/>
  <c r="BH28" i="104" s="1"/>
  <c r="BH126" i="103"/>
  <c r="A127" i="103"/>
  <c r="A120" i="103"/>
  <c r="BH119" i="103"/>
  <c r="A43" i="82"/>
  <c r="G43" i="82" s="1"/>
  <c r="G41" i="82"/>
  <c r="F43" i="82"/>
  <c r="A17" i="80"/>
  <c r="N13" i="80"/>
  <c r="BD12" i="103"/>
  <c r="L121" i="77"/>
  <c r="L118" i="77"/>
  <c r="L115" i="77"/>
  <c r="L112" i="77"/>
  <c r="L120" i="77"/>
  <c r="L117" i="77"/>
  <c r="L114" i="77"/>
  <c r="L111" i="77"/>
  <c r="L119" i="77"/>
  <c r="L116" i="77"/>
  <c r="L113" i="77"/>
  <c r="L110" i="77"/>
  <c r="M19" i="78"/>
  <c r="H19" i="78"/>
  <c r="J19" i="78" s="1"/>
  <c r="M18" i="78"/>
  <c r="J18" i="78"/>
  <c r="H18" i="78"/>
  <c r="K94" i="47"/>
  <c r="C32" i="87"/>
  <c r="C36" i="87"/>
  <c r="T17" i="104"/>
  <c r="T23" i="104" s="1"/>
  <c r="Z12" i="104"/>
  <c r="Z17" i="104" s="1"/>
  <c r="Z23" i="104" s="1"/>
  <c r="AR12" i="104"/>
  <c r="AZ29" i="104"/>
  <c r="BF29" i="104" s="1"/>
  <c r="BH29" i="104" s="1"/>
  <c r="AR29" i="104"/>
  <c r="A20" i="106"/>
  <c r="N18" i="106"/>
  <c r="A17" i="89"/>
  <c r="K15" i="89"/>
  <c r="F24" i="89"/>
  <c r="A17" i="86"/>
  <c r="K17" i="86" s="1"/>
  <c r="K16" i="86"/>
  <c r="AR34" i="104"/>
  <c r="X17" i="104"/>
  <c r="X23" i="104" s="1"/>
  <c r="BH124" i="104"/>
  <c r="BF123" i="104"/>
  <c r="A14" i="82"/>
  <c r="F15" i="82" s="1"/>
  <c r="G13" i="82"/>
  <c r="A57" i="83"/>
  <c r="K56" i="83"/>
  <c r="AP34" i="103"/>
  <c r="A115" i="77"/>
  <c r="Q114" i="77"/>
  <c r="M121" i="77"/>
  <c r="M118" i="77"/>
  <c r="M115" i="77"/>
  <c r="M112" i="77"/>
  <c r="M120" i="77"/>
  <c r="M117" i="77"/>
  <c r="M114" i="77"/>
  <c r="M111" i="77"/>
  <c r="M119" i="77"/>
  <c r="M116" i="77"/>
  <c r="M113" i="77"/>
  <c r="M110" i="77"/>
  <c r="AR66" i="104"/>
  <c r="H17" i="78"/>
  <c r="M17" i="78"/>
  <c r="J17" i="78"/>
  <c r="D120" i="77"/>
  <c r="P86" i="77"/>
  <c r="M10" i="78"/>
  <c r="F21" i="78"/>
  <c r="H10" i="78"/>
  <c r="J10" i="78" s="1"/>
  <c r="D29" i="87"/>
  <c r="H99" i="1"/>
  <c r="A102" i="1"/>
  <c r="F117" i="1"/>
  <c r="G13" i="68"/>
  <c r="A14" i="68"/>
  <c r="A112" i="5"/>
  <c r="L111" i="5"/>
  <c r="I42" i="106"/>
  <c r="L24" i="106" s="1"/>
  <c r="A39" i="87"/>
  <c r="G39" i="87" s="1"/>
  <c r="G38" i="87"/>
  <c r="A24" i="86"/>
  <c r="K23" i="86"/>
  <c r="A108" i="104"/>
  <c r="BJ107" i="104"/>
  <c r="AX124" i="103"/>
  <c r="AX20" i="103" s="1"/>
  <c r="AP99" i="103"/>
  <c r="BD118" i="103"/>
  <c r="BF118" i="103" s="1"/>
  <c r="AP116" i="103"/>
  <c r="BD66" i="103"/>
  <c r="BF66" i="103" s="1"/>
  <c r="A13" i="78"/>
  <c r="Q12" i="78"/>
  <c r="A33" i="78"/>
  <c r="Q32" i="78"/>
  <c r="N121" i="77"/>
  <c r="N118" i="77"/>
  <c r="N115" i="77"/>
  <c r="N112" i="77"/>
  <c r="N120" i="77"/>
  <c r="N117" i="77"/>
  <c r="N114" i="77"/>
  <c r="N111" i="77"/>
  <c r="N110" i="77"/>
  <c r="N119" i="77"/>
  <c r="N116" i="77"/>
  <c r="N113" i="77"/>
  <c r="C44" i="90"/>
  <c r="L82" i="5"/>
  <c r="A83" i="5"/>
  <c r="BJ29" i="104"/>
  <c r="A30" i="104"/>
  <c r="A9" i="85"/>
  <c r="N8" i="85"/>
  <c r="AP104" i="103"/>
  <c r="AP102" i="103" s="1"/>
  <c r="X42" i="103"/>
  <c r="BD99" i="103"/>
  <c r="BF99" i="103" s="1"/>
  <c r="AP80" i="103"/>
  <c r="AZ80" i="103"/>
  <c r="BD80" i="103" s="1"/>
  <c r="BF80" i="103" s="1"/>
  <c r="AP16" i="103"/>
  <c r="AJ17" i="103"/>
  <c r="AJ23" i="103" s="1"/>
  <c r="AP12" i="103"/>
  <c r="AP63" i="103"/>
  <c r="AP42" i="103" s="1"/>
  <c r="BD69" i="103"/>
  <c r="BF69" i="103" s="1"/>
  <c r="A115" i="80"/>
  <c r="N114" i="80"/>
  <c r="A44" i="76"/>
  <c r="R43" i="76"/>
  <c r="O121" i="77"/>
  <c r="O118" i="77"/>
  <c r="O115" i="77"/>
  <c r="O112" i="77"/>
  <c r="O120" i="77"/>
  <c r="O117" i="77"/>
  <c r="O114" i="77"/>
  <c r="O111" i="77"/>
  <c r="O119" i="77"/>
  <c r="O116" i="77"/>
  <c r="O113" i="77"/>
  <c r="O110" i="77"/>
  <c r="C43" i="90"/>
  <c r="A26" i="71"/>
  <c r="K25" i="71"/>
  <c r="F160" i="1"/>
  <c r="H159" i="1"/>
  <c r="A160" i="1"/>
  <c r="H160" i="1" s="1"/>
  <c r="G10" i="2"/>
  <c r="A11" i="2"/>
  <c r="L47" i="5"/>
  <c r="A48" i="5"/>
  <c r="K41" i="47"/>
  <c r="E45" i="47"/>
  <c r="A49" i="86"/>
  <c r="K48" i="86"/>
  <c r="A38" i="86"/>
  <c r="K37" i="86"/>
  <c r="K40" i="106"/>
  <c r="L40" i="106"/>
  <c r="BD103" i="104"/>
  <c r="BF103" i="104" s="1"/>
  <c r="AP102" i="104"/>
  <c r="AP15" i="104" s="1"/>
  <c r="AP17" i="104" s="1"/>
  <c r="AP23" i="104" s="1"/>
  <c r="AX102" i="103"/>
  <c r="AX15" i="103" s="1"/>
  <c r="AX17" i="103" s="1"/>
  <c r="AX23" i="103" s="1"/>
  <c r="AZ128" i="103"/>
  <c r="BD128" i="103" s="1"/>
  <c r="AP128" i="103"/>
  <c r="AP124" i="103" s="1"/>
  <c r="BB103" i="103"/>
  <c r="BB102" i="103" s="1"/>
  <c r="BB15" i="103" s="1"/>
  <c r="BB17" i="103" s="1"/>
  <c r="BB23" i="103" s="1"/>
  <c r="AN102" i="103"/>
  <c r="AN15" i="103" s="1"/>
  <c r="AP15" i="103" s="1"/>
  <c r="A38" i="103"/>
  <c r="BH37" i="103"/>
  <c r="AP20" i="103"/>
  <c r="X15" i="103"/>
  <c r="V17" i="103"/>
  <c r="V23" i="103" s="1"/>
  <c r="BD26" i="103"/>
  <c r="BF124" i="103"/>
  <c r="BF20" i="103"/>
  <c r="A83" i="80"/>
  <c r="N82" i="80"/>
  <c r="E122" i="77"/>
  <c r="G61" i="83"/>
  <c r="A81" i="77"/>
  <c r="Q80" i="77"/>
  <c r="M12" i="78"/>
  <c r="J12" i="78"/>
  <c r="H12" i="78"/>
  <c r="F11" i="92"/>
  <c r="G24" i="72"/>
  <c r="I14" i="72"/>
  <c r="I24" i="72" s="1"/>
  <c r="H9" i="1"/>
  <c r="F10" i="1"/>
  <c r="A10" i="1"/>
  <c r="K43" i="47"/>
  <c r="E23" i="89"/>
  <c r="D23" i="89"/>
  <c r="D17" i="89" s="1"/>
  <c r="A106" i="103"/>
  <c r="BH104" i="103"/>
  <c r="A19" i="105"/>
  <c r="N17" i="105"/>
  <c r="BF26" i="103"/>
  <c r="BF12" i="103" s="1"/>
  <c r="F12" i="81"/>
  <c r="D20" i="81"/>
  <c r="A13" i="81"/>
  <c r="A58" i="80"/>
  <c r="N57" i="80"/>
  <c r="E18" i="75"/>
  <c r="E56" i="75"/>
  <c r="A56" i="75"/>
  <c r="J55" i="75"/>
  <c r="H10" i="70"/>
  <c r="A11" i="70"/>
  <c r="H150" i="1"/>
  <c r="A151" i="1"/>
  <c r="F151" i="1"/>
  <c r="A130" i="1"/>
  <c r="H129" i="1"/>
  <c r="F23" i="89"/>
  <c r="AR20" i="104"/>
  <c r="AZ20" i="104"/>
  <c r="BF20" i="104" s="1"/>
  <c r="G32" i="85"/>
  <c r="A31" i="85"/>
  <c r="N30" i="85"/>
  <c r="AR80" i="104"/>
  <c r="BB80" i="104"/>
  <c r="BF80" i="104" s="1"/>
  <c r="BH80" i="104" s="1"/>
  <c r="A14" i="84"/>
  <c r="Q13" i="84"/>
  <c r="AR14" i="104"/>
  <c r="AZ34" i="104"/>
  <c r="AZ13" i="104" s="1"/>
  <c r="BF13" i="104" s="1"/>
  <c r="A16" i="104"/>
  <c r="BJ15" i="104"/>
  <c r="A16" i="79"/>
  <c r="J15" i="79"/>
  <c r="M11" i="78"/>
  <c r="H11" i="78"/>
  <c r="J11" i="78" s="1"/>
  <c r="D34" i="89"/>
  <c r="D36" i="89" s="1"/>
  <c r="A20" i="5"/>
  <c r="L19" i="5"/>
  <c r="D120" i="5"/>
  <c r="AZ125" i="103"/>
  <c r="AL124" i="103"/>
  <c r="AL20" i="103" s="1"/>
  <c r="AR116" i="104"/>
  <c r="AR115" i="104" s="1"/>
  <c r="AL115" i="104"/>
  <c r="AL16" i="104" s="1"/>
  <c r="AR16" i="104" s="1"/>
  <c r="AZ116" i="104"/>
  <c r="G120" i="77"/>
  <c r="G117" i="77"/>
  <c r="P117" i="77" s="1"/>
  <c r="G114" i="77"/>
  <c r="G111" i="77"/>
  <c r="G119" i="77"/>
  <c r="G116" i="77"/>
  <c r="G113" i="77"/>
  <c r="G110" i="77"/>
  <c r="P110" i="77" s="1"/>
  <c r="G121" i="77"/>
  <c r="G118" i="77"/>
  <c r="P118" i="77" s="1"/>
  <c r="G115" i="77"/>
  <c r="G112" i="77"/>
  <c r="E92" i="75"/>
  <c r="E34" i="89"/>
  <c r="A26" i="2"/>
  <c r="G25" i="2"/>
  <c r="A86" i="47"/>
  <c r="H85" i="47"/>
  <c r="A43" i="47"/>
  <c r="H42" i="47"/>
  <c r="F43" i="47"/>
  <c r="H14" i="102" l="1"/>
  <c r="E14" i="102"/>
  <c r="P121" i="77"/>
  <c r="P116" i="77"/>
  <c r="P115" i="77"/>
  <c r="P114" i="77"/>
  <c r="N122" i="77"/>
  <c r="P113" i="77"/>
  <c r="P119" i="77"/>
  <c r="P112" i="77"/>
  <c r="P111" i="77"/>
  <c r="BF102" i="104"/>
  <c r="BH103" i="104"/>
  <c r="BH102" i="104" s="1"/>
  <c r="BH15" i="104" s="1"/>
  <c r="J21" i="78"/>
  <c r="A14" i="81"/>
  <c r="F13" i="81"/>
  <c r="BF34" i="104"/>
  <c r="BH35" i="104"/>
  <c r="BH34" i="104" s="1"/>
  <c r="BH13" i="104" s="1"/>
  <c r="K7" i="47"/>
  <c r="A99" i="80"/>
  <c r="N98" i="80"/>
  <c r="AZ115" i="104"/>
  <c r="AZ16" i="104" s="1"/>
  <c r="BF16" i="104" s="1"/>
  <c r="BF116" i="104"/>
  <c r="A82" i="77"/>
  <c r="Q81" i="77"/>
  <c r="N115" i="80"/>
  <c r="A116" i="80"/>
  <c r="A10" i="85"/>
  <c r="N9" i="85"/>
  <c r="C39" i="87"/>
  <c r="E135" i="1" s="1"/>
  <c r="E89" i="47" s="1"/>
  <c r="K89" i="47" s="1"/>
  <c r="I31" i="87"/>
  <c r="A17" i="103"/>
  <c r="BH16" i="103"/>
  <c r="AL23" i="103"/>
  <c r="AZ42" i="103"/>
  <c r="AZ14" i="103" s="1"/>
  <c r="AZ17" i="103" s="1"/>
  <c r="A52" i="89"/>
  <c r="K51" i="89"/>
  <c r="R19" i="76"/>
  <c r="A20" i="76"/>
  <c r="A12" i="70"/>
  <c r="H11" i="70"/>
  <c r="N31" i="85"/>
  <c r="A32" i="85"/>
  <c r="A39" i="103"/>
  <c r="BH39" i="103" s="1"/>
  <c r="BH38" i="103"/>
  <c r="A39" i="86"/>
  <c r="K38" i="86"/>
  <c r="BJ30" i="104"/>
  <c r="A31" i="104"/>
  <c r="BJ31" i="104" s="1"/>
  <c r="I54" i="106"/>
  <c r="L12" i="106"/>
  <c r="L14" i="106"/>
  <c r="L26" i="106"/>
  <c r="K14" i="106"/>
  <c r="K26" i="106"/>
  <c r="L32" i="106"/>
  <c r="K12" i="106"/>
  <c r="K32" i="106"/>
  <c r="D12" i="102"/>
  <c r="G51" i="89"/>
  <c r="A21" i="75"/>
  <c r="J20" i="75"/>
  <c r="AR42" i="104"/>
  <c r="J17" i="72"/>
  <c r="A18" i="72"/>
  <c r="A37" i="83"/>
  <c r="K36" i="83"/>
  <c r="H41" i="1"/>
  <c r="A42" i="1"/>
  <c r="F56" i="1"/>
  <c r="X17" i="103"/>
  <c r="X23" i="103" s="1"/>
  <c r="I122" i="77"/>
  <c r="A12" i="90"/>
  <c r="F10" i="90"/>
  <c r="BB42" i="104"/>
  <c r="BB14" i="104" s="1"/>
  <c r="BB17" i="104" s="1"/>
  <c r="BB23" i="104" s="1"/>
  <c r="BF43" i="104"/>
  <c r="AN17" i="103"/>
  <c r="AN23" i="103" s="1"/>
  <c r="A50" i="86"/>
  <c r="K49" i="86"/>
  <c r="F20" i="79"/>
  <c r="F15" i="79"/>
  <c r="F22" i="79"/>
  <c r="F24" i="79"/>
  <c r="F19" i="79"/>
  <c r="F14" i="79"/>
  <c r="F13" i="79"/>
  <c r="F26" i="79" s="1"/>
  <c r="F17" i="79"/>
  <c r="F21" i="79"/>
  <c r="F16" i="79"/>
  <c r="F25" i="79"/>
  <c r="D17" i="92" s="1"/>
  <c r="F18" i="79"/>
  <c r="F23" i="79"/>
  <c r="AP17" i="103"/>
  <c r="AP23" i="103" s="1"/>
  <c r="L83" i="5"/>
  <c r="A84" i="5"/>
  <c r="A21" i="80"/>
  <c r="N17" i="80"/>
  <c r="K122" i="77"/>
  <c r="M25" i="84"/>
  <c r="M14" i="84"/>
  <c r="M26" i="84"/>
  <c r="M15" i="84"/>
  <c r="M27" i="84"/>
  <c r="M16" i="84"/>
  <c r="M32" i="84"/>
  <c r="M31" i="84"/>
  <c r="M30" i="84"/>
  <c r="M29" i="84"/>
  <c r="M28" i="84"/>
  <c r="M17" i="84"/>
  <c r="M34" i="84"/>
  <c r="M33" i="84"/>
  <c r="M18" i="84"/>
  <c r="M35" i="84"/>
  <c r="M19" i="84"/>
  <c r="M36" i="84"/>
  <c r="M20" i="84"/>
  <c r="M37" i="84"/>
  <c r="M21" i="84"/>
  <c r="M22" i="84"/>
  <c r="M23" i="84"/>
  <c r="M11" i="84"/>
  <c r="M12" i="84"/>
  <c r="M13" i="84"/>
  <c r="F63" i="80"/>
  <c r="F64" i="80" s="1"/>
  <c r="F98" i="80"/>
  <c r="F99" i="80" s="1"/>
  <c r="J122" i="77"/>
  <c r="BD14" i="103"/>
  <c r="BD17" i="103" s="1"/>
  <c r="BD23" i="103" s="1"/>
  <c r="BF43" i="103"/>
  <c r="BF42" i="103" s="1"/>
  <c r="BF14" i="103" s="1"/>
  <c r="BD42" i="103"/>
  <c r="M21" i="78"/>
  <c r="N21" i="78" s="1"/>
  <c r="A58" i="83"/>
  <c r="K57" i="83"/>
  <c r="A22" i="89"/>
  <c r="K17" i="89"/>
  <c r="A57" i="75"/>
  <c r="J56" i="75"/>
  <c r="H86" i="47"/>
  <c r="A87" i="47"/>
  <c r="G122" i="77"/>
  <c r="AZ124" i="103"/>
  <c r="AZ20" i="103" s="1"/>
  <c r="BD20" i="103" s="1"/>
  <c r="E57" i="75"/>
  <c r="E19" i="75"/>
  <c r="F56" i="75"/>
  <c r="N19" i="105"/>
  <c r="A21" i="105"/>
  <c r="E67" i="47"/>
  <c r="K67" i="47" s="1"/>
  <c r="K45" i="47"/>
  <c r="BD125" i="103"/>
  <c r="BD124" i="103" s="1"/>
  <c r="L112" i="5"/>
  <c r="A113" i="5"/>
  <c r="A22" i="106"/>
  <c r="N20" i="106"/>
  <c r="D13" i="102"/>
  <c r="A36" i="89"/>
  <c r="K34" i="89"/>
  <c r="F36" i="89"/>
  <c r="F42" i="1"/>
  <c r="A39" i="104"/>
  <c r="BJ39" i="104" s="1"/>
  <c r="BJ38" i="104"/>
  <c r="A18" i="92"/>
  <c r="I17" i="92"/>
  <c r="BD116" i="103"/>
  <c r="A128" i="104"/>
  <c r="BJ128" i="104" s="1"/>
  <c r="BJ127" i="104"/>
  <c r="H83" i="1"/>
  <c r="A84" i="1"/>
  <c r="G117" i="80"/>
  <c r="A116" i="77"/>
  <c r="Q115" i="77"/>
  <c r="C37" i="87"/>
  <c r="C38" i="87" s="1"/>
  <c r="A67" i="47"/>
  <c r="H66" i="47"/>
  <c r="A27" i="71"/>
  <c r="K26" i="71"/>
  <c r="A86" i="80"/>
  <c r="N86" i="80" s="1"/>
  <c r="N83" i="80"/>
  <c r="E11" i="80"/>
  <c r="A15" i="68"/>
  <c r="G14" i="68"/>
  <c r="P120" i="77"/>
  <c r="A15" i="82"/>
  <c r="G14" i="82"/>
  <c r="A70" i="73"/>
  <c r="R69" i="73"/>
  <c r="BF116" i="103"/>
  <c r="BF16" i="103" s="1"/>
  <c r="A41" i="92"/>
  <c r="I40" i="92"/>
  <c r="A36" i="80"/>
  <c r="N35" i="80"/>
  <c r="A54" i="85"/>
  <c r="N53" i="85"/>
  <c r="A12" i="94"/>
  <c r="F11" i="94"/>
  <c r="A42" i="73"/>
  <c r="R41" i="73"/>
  <c r="Q16" i="73"/>
  <c r="A47" i="103"/>
  <c r="BH46" i="103"/>
  <c r="H10" i="1"/>
  <c r="A13" i="1"/>
  <c r="H21" i="78"/>
  <c r="BH27" i="104"/>
  <c r="BH26" i="104" s="1"/>
  <c r="BH12" i="104" s="1"/>
  <c r="BF26" i="104"/>
  <c r="G15" i="79"/>
  <c r="G22" i="79"/>
  <c r="G17" i="79"/>
  <c r="G19" i="79"/>
  <c r="G14" i="79"/>
  <c r="G21" i="79"/>
  <c r="G16" i="79"/>
  <c r="G25" i="79"/>
  <c r="E17" i="92" s="1"/>
  <c r="G20" i="79"/>
  <c r="G24" i="79"/>
  <c r="G13" i="79"/>
  <c r="G23" i="79"/>
  <c r="G18" i="79"/>
  <c r="A95" i="75"/>
  <c r="J94" i="75"/>
  <c r="BF14" i="104"/>
  <c r="A27" i="2"/>
  <c r="G26" i="2"/>
  <c r="A21" i="5"/>
  <c r="L20" i="5"/>
  <c r="A131" i="1"/>
  <c r="H130" i="1"/>
  <c r="D38" i="89"/>
  <c r="E158" i="1" s="1"/>
  <c r="BD103" i="103"/>
  <c r="A109" i="104"/>
  <c r="BJ108" i="104"/>
  <c r="BH123" i="104"/>
  <c r="BH20" i="104"/>
  <c r="AR17" i="104"/>
  <c r="AR23" i="104" s="1"/>
  <c r="C65" i="5"/>
  <c r="C68" i="5"/>
  <c r="C63" i="5"/>
  <c r="C60" i="5"/>
  <c r="C66" i="5"/>
  <c r="C61" i="5"/>
  <c r="C64" i="5"/>
  <c r="C58" i="5"/>
  <c r="C62" i="5"/>
  <c r="C59" i="5"/>
  <c r="C67" i="5"/>
  <c r="A46" i="104"/>
  <c r="BJ45" i="104"/>
  <c r="A17" i="104"/>
  <c r="BJ16" i="104"/>
  <c r="BH106" i="103"/>
  <c r="A107" i="103"/>
  <c r="BD15" i="103"/>
  <c r="A49" i="5"/>
  <c r="L48" i="5"/>
  <c r="A17" i="73"/>
  <c r="R16" i="73"/>
  <c r="A14" i="2"/>
  <c r="G11" i="2"/>
  <c r="O122" i="77"/>
  <c r="A103" i="1"/>
  <c r="H102" i="1"/>
  <c r="F103" i="1"/>
  <c r="AL17" i="104"/>
  <c r="AL23" i="104" s="1"/>
  <c r="A121" i="103"/>
  <c r="BH121" i="103" s="1"/>
  <c r="BH120" i="103"/>
  <c r="A137" i="80"/>
  <c r="N136" i="80"/>
  <c r="A68" i="76"/>
  <c r="R67" i="76"/>
  <c r="Q17" i="76"/>
  <c r="A45" i="47"/>
  <c r="H43" i="47"/>
  <c r="A15" i="84"/>
  <c r="Q14" i="84"/>
  <c r="A59" i="80"/>
  <c r="N58" i="80"/>
  <c r="BD102" i="104"/>
  <c r="BD15" i="104" s="1"/>
  <c r="BD17" i="104" s="1"/>
  <c r="BD23" i="104" s="1"/>
  <c r="A34" i="78"/>
  <c r="Q33" i="78"/>
  <c r="F32" i="85"/>
  <c r="K30" i="85"/>
  <c r="Q19" i="69"/>
  <c r="A21" i="69"/>
  <c r="H122" i="77"/>
  <c r="I99" i="80"/>
  <c r="A14" i="78"/>
  <c r="Q13" i="78"/>
  <c r="A17" i="79"/>
  <c r="J16" i="79"/>
  <c r="G60" i="83"/>
  <c r="E93" i="75"/>
  <c r="F92" i="75"/>
  <c r="A128" i="103"/>
  <c r="BH127" i="103"/>
  <c r="BF35" i="103"/>
  <c r="BF34" i="103" s="1"/>
  <c r="BF13" i="103" s="1"/>
  <c r="BD34" i="103"/>
  <c r="F157" i="1"/>
  <c r="F159" i="1"/>
  <c r="H151" i="1"/>
  <c r="A45" i="76"/>
  <c r="R44" i="76"/>
  <c r="A25" i="86"/>
  <c r="K24" i="86"/>
  <c r="M122" i="77"/>
  <c r="L122" i="77"/>
  <c r="D122" i="77"/>
  <c r="A12" i="71"/>
  <c r="K11" i="71"/>
  <c r="A41" i="79"/>
  <c r="J40" i="79"/>
  <c r="AZ26" i="104"/>
  <c r="AZ12" i="104" s="1"/>
  <c r="A16" i="47"/>
  <c r="H15" i="47"/>
  <c r="F16" i="47"/>
  <c r="P122" i="77" l="1"/>
  <c r="F129" i="77" s="1"/>
  <c r="F131" i="77" s="1"/>
  <c r="E129" i="1" s="1"/>
  <c r="A59" i="83"/>
  <c r="K58" i="83"/>
  <c r="A60" i="80"/>
  <c r="N59" i="80"/>
  <c r="A16" i="84"/>
  <c r="Q15" i="84"/>
  <c r="A26" i="86"/>
  <c r="K25" i="86"/>
  <c r="F67" i="47"/>
  <c r="A46" i="47"/>
  <c r="H45" i="47"/>
  <c r="F119" i="1"/>
  <c r="F70" i="47"/>
  <c r="A106" i="1"/>
  <c r="H103" i="1"/>
  <c r="A37" i="80"/>
  <c r="N36" i="80"/>
  <c r="A23" i="105"/>
  <c r="N21" i="105"/>
  <c r="O18" i="84"/>
  <c r="N18" i="84"/>
  <c r="O26" i="84"/>
  <c r="N26" i="84"/>
  <c r="P26" i="84" s="1"/>
  <c r="A38" i="83"/>
  <c r="K37" i="83"/>
  <c r="A19" i="103"/>
  <c r="BH17" i="103"/>
  <c r="A102" i="80"/>
  <c r="N102" i="80" s="1"/>
  <c r="N99" i="80"/>
  <c r="E12" i="80"/>
  <c r="G59" i="83"/>
  <c r="BJ17" i="104"/>
  <c r="A19" i="104"/>
  <c r="A22" i="5"/>
  <c r="L21" i="5"/>
  <c r="A85" i="1"/>
  <c r="H84" i="1"/>
  <c r="A23" i="89"/>
  <c r="K22" i="89"/>
  <c r="O13" i="84"/>
  <c r="N13" i="84"/>
  <c r="O33" i="84"/>
  <c r="N33" i="84"/>
  <c r="N14" i="84"/>
  <c r="O14" i="84"/>
  <c r="BH43" i="104"/>
  <c r="BH42" i="104" s="1"/>
  <c r="BH14" i="104" s="1"/>
  <c r="BF42" i="104"/>
  <c r="A19" i="72"/>
  <c r="J18" i="72"/>
  <c r="N32" i="85"/>
  <c r="A33" i="85"/>
  <c r="H16" i="47"/>
  <c r="A19" i="47"/>
  <c r="AZ17" i="104"/>
  <c r="AZ23" i="104" s="1"/>
  <c r="BF12" i="104"/>
  <c r="BF17" i="104" s="1"/>
  <c r="BF23" i="104" s="1"/>
  <c r="C47" i="83" s="1"/>
  <c r="A46" i="76"/>
  <c r="R45" i="76"/>
  <c r="F93" i="75"/>
  <c r="E94" i="75"/>
  <c r="K32" i="85"/>
  <c r="A42" i="92"/>
  <c r="I41" i="92"/>
  <c r="F19" i="75"/>
  <c r="O12" i="84"/>
  <c r="N12" i="84"/>
  <c r="O34" i="84"/>
  <c r="N34" i="84"/>
  <c r="N25" i="84"/>
  <c r="O25" i="84"/>
  <c r="A42" i="79"/>
  <c r="J41" i="79"/>
  <c r="A35" i="78"/>
  <c r="Q34" i="78"/>
  <c r="BF15" i="104"/>
  <c r="K27" i="71"/>
  <c r="A28" i="71"/>
  <c r="P21" i="78"/>
  <c r="F52" i="75"/>
  <c r="F54" i="75"/>
  <c r="F17" i="75" s="1"/>
  <c r="F89" i="75"/>
  <c r="E141" i="80"/>
  <c r="H141" i="80" s="1"/>
  <c r="J141" i="80" s="1"/>
  <c r="E134" i="80"/>
  <c r="H134" i="80" s="1"/>
  <c r="J134" i="80" s="1"/>
  <c r="E133" i="80"/>
  <c r="H133" i="80" s="1"/>
  <c r="J133" i="80" s="1"/>
  <c r="E136" i="80"/>
  <c r="H136" i="80" s="1"/>
  <c r="J136" i="80" s="1"/>
  <c r="E135" i="80"/>
  <c r="H135" i="80" s="1"/>
  <c r="J135" i="80" s="1"/>
  <c r="E140" i="80"/>
  <c r="H140" i="80" s="1"/>
  <c r="J140" i="80" s="1"/>
  <c r="E139" i="80"/>
  <c r="H139" i="80" s="1"/>
  <c r="J139" i="80" s="1"/>
  <c r="E137" i="80"/>
  <c r="H137" i="80" s="1"/>
  <c r="J137" i="80" s="1"/>
  <c r="E143" i="80"/>
  <c r="H143" i="80" s="1"/>
  <c r="J143" i="80" s="1"/>
  <c r="E138" i="80"/>
  <c r="H138" i="80" s="1"/>
  <c r="J138" i="80" s="1"/>
  <c r="F53" i="75"/>
  <c r="E142" i="80"/>
  <c r="H142" i="80" s="1"/>
  <c r="J142" i="80" s="1"/>
  <c r="F90" i="75"/>
  <c r="E132" i="80"/>
  <c r="F88" i="75"/>
  <c r="H88" i="75" s="1"/>
  <c r="E158" i="80"/>
  <c r="H158" i="80" s="1"/>
  <c r="J158" i="80" s="1"/>
  <c r="E150" i="80"/>
  <c r="H150" i="80" s="1"/>
  <c r="J150" i="80" s="1"/>
  <c r="F91" i="75"/>
  <c r="E157" i="80"/>
  <c r="H157" i="80" s="1"/>
  <c r="J157" i="80" s="1"/>
  <c r="E159" i="80"/>
  <c r="H159" i="80" s="1"/>
  <c r="J159" i="80" s="1"/>
  <c r="E156" i="80"/>
  <c r="H156" i="80" s="1"/>
  <c r="J156" i="80" s="1"/>
  <c r="E149" i="80"/>
  <c r="E153" i="80"/>
  <c r="H153" i="80" s="1"/>
  <c r="J153" i="80" s="1"/>
  <c r="E155" i="80"/>
  <c r="H155" i="80" s="1"/>
  <c r="J155" i="80" s="1"/>
  <c r="F55" i="75"/>
  <c r="E154" i="80"/>
  <c r="H154" i="80" s="1"/>
  <c r="J154" i="80" s="1"/>
  <c r="E152" i="80"/>
  <c r="H152" i="80" s="1"/>
  <c r="J152" i="80" s="1"/>
  <c r="E160" i="80"/>
  <c r="H160" i="80" s="1"/>
  <c r="E151" i="80"/>
  <c r="H151" i="80" s="1"/>
  <c r="J151" i="80" s="1"/>
  <c r="O23" i="84"/>
  <c r="N23" i="84"/>
  <c r="P23" i="84" s="1"/>
  <c r="N28" i="84"/>
  <c r="P28" i="84" s="1"/>
  <c r="O28" i="84"/>
  <c r="F12" i="90"/>
  <c r="A13" i="90"/>
  <c r="A13" i="70"/>
  <c r="H12" i="70"/>
  <c r="A11" i="85"/>
  <c r="N10" i="85"/>
  <c r="A69" i="76"/>
  <c r="R68" i="76"/>
  <c r="Q18" i="76"/>
  <c r="A28" i="2"/>
  <c r="G27" i="2"/>
  <c r="E28" i="2"/>
  <c r="A48" i="103"/>
  <c r="BH47" i="103"/>
  <c r="A18" i="73"/>
  <c r="R17" i="73"/>
  <c r="A71" i="73"/>
  <c r="R70" i="73"/>
  <c r="F57" i="75"/>
  <c r="E20" i="75"/>
  <c r="E58" i="75"/>
  <c r="O22" i="84"/>
  <c r="N22" i="84"/>
  <c r="P22" i="84" s="1"/>
  <c r="N29" i="84"/>
  <c r="P29" i="84" s="1"/>
  <c r="O29" i="84"/>
  <c r="A22" i="80"/>
  <c r="N21" i="80"/>
  <c r="A22" i="75"/>
  <c r="J21" i="75"/>
  <c r="A21" i="76"/>
  <c r="R20" i="76"/>
  <c r="A117" i="80"/>
  <c r="N116" i="80"/>
  <c r="R42" i="73"/>
  <c r="A43" i="73"/>
  <c r="Q17" i="73"/>
  <c r="H67" i="47"/>
  <c r="A68" i="47"/>
  <c r="N22" i="106"/>
  <c r="A24" i="106"/>
  <c r="O21" i="84"/>
  <c r="N21" i="84"/>
  <c r="P21" i="84" s="1"/>
  <c r="N30" i="84"/>
  <c r="P30" i="84" s="1"/>
  <c r="O30" i="84"/>
  <c r="A85" i="5"/>
  <c r="L84" i="5"/>
  <c r="A16" i="81"/>
  <c r="F14" i="81"/>
  <c r="D13" i="81"/>
  <c r="A15" i="2"/>
  <c r="G14" i="2"/>
  <c r="N11" i="84"/>
  <c r="O11" i="84"/>
  <c r="A138" i="80"/>
  <c r="N137" i="80"/>
  <c r="A112" i="104"/>
  <c r="BJ112" i="104" s="1"/>
  <c r="A110" i="104"/>
  <c r="BJ109" i="104"/>
  <c r="F18" i="82"/>
  <c r="A18" i="82"/>
  <c r="G18" i="82" s="1"/>
  <c r="G15" i="82"/>
  <c r="A114" i="5"/>
  <c r="L113" i="5"/>
  <c r="O37" i="84"/>
  <c r="N37" i="84"/>
  <c r="P37" i="84" s="1"/>
  <c r="N31" i="84"/>
  <c r="P31" i="84" s="1"/>
  <c r="O31" i="84"/>
  <c r="G50" i="89"/>
  <c r="A47" i="104"/>
  <c r="BJ46" i="104"/>
  <c r="BF103" i="103"/>
  <c r="BF102" i="103" s="1"/>
  <c r="BF15" i="103" s="1"/>
  <c r="BF17" i="103" s="1"/>
  <c r="BF23" i="103" s="1"/>
  <c r="BD102" i="103"/>
  <c r="D11" i="93"/>
  <c r="F12" i="94"/>
  <c r="D6" i="93"/>
  <c r="A19" i="92"/>
  <c r="I18" i="92"/>
  <c r="A88" i="47"/>
  <c r="H87" i="47"/>
  <c r="O20" i="84"/>
  <c r="N20" i="84"/>
  <c r="P20" i="84" s="1"/>
  <c r="N32" i="84"/>
  <c r="O32" i="84"/>
  <c r="C46" i="83"/>
  <c r="A53" i="89"/>
  <c r="K52" i="89"/>
  <c r="A83" i="77"/>
  <c r="Q82" i="77"/>
  <c r="G14" i="70"/>
  <c r="N17" i="84"/>
  <c r="O17" i="84"/>
  <c r="A18" i="79"/>
  <c r="J17" i="79"/>
  <c r="Q14" i="78"/>
  <c r="A15" i="78"/>
  <c r="O16" i="84"/>
  <c r="N16" i="84"/>
  <c r="P16" i="84" s="1"/>
  <c r="H42" i="1"/>
  <c r="A45" i="1"/>
  <c r="AZ23" i="103"/>
  <c r="BH116" i="104"/>
  <c r="BH115" i="104" s="1"/>
  <c r="BH16" i="104" s="1"/>
  <c r="BH17" i="104" s="1"/>
  <c r="BH23" i="104" s="1"/>
  <c r="BF115" i="104"/>
  <c r="A14" i="71"/>
  <c r="K14" i="71" s="1"/>
  <c r="K12" i="71"/>
  <c r="F14" i="71"/>
  <c r="A96" i="75"/>
  <c r="J95" i="75"/>
  <c r="A50" i="5"/>
  <c r="L49" i="5"/>
  <c r="G26" i="79"/>
  <c r="O36" i="84"/>
  <c r="N36" i="84"/>
  <c r="P36" i="84" s="1"/>
  <c r="A108" i="103"/>
  <c r="BH107" i="103"/>
  <c r="N54" i="85"/>
  <c r="A55" i="85"/>
  <c r="G15" i="68"/>
  <c r="A16" i="68"/>
  <c r="A117" i="77"/>
  <c r="Q116" i="77"/>
  <c r="O19" i="84"/>
  <c r="N19" i="84"/>
  <c r="P19" i="84" s="1"/>
  <c r="N27" i="84"/>
  <c r="O27" i="84"/>
  <c r="A40" i="86"/>
  <c r="K39" i="86"/>
  <c r="F38" i="89"/>
  <c r="A38" i="89"/>
  <c r="K38" i="89" s="1"/>
  <c r="K36" i="89"/>
  <c r="BH128" i="103"/>
  <c r="A129" i="103"/>
  <c r="BH129" i="103" s="1"/>
  <c r="A23" i="69"/>
  <c r="Q21" i="69"/>
  <c r="H131" i="1"/>
  <c r="A132" i="1"/>
  <c r="A14" i="1"/>
  <c r="H13" i="1"/>
  <c r="G116" i="80"/>
  <c r="J57" i="75"/>
  <c r="A58" i="75"/>
  <c r="O35" i="84"/>
  <c r="N35" i="84"/>
  <c r="O15" i="84"/>
  <c r="N15" i="84"/>
  <c r="P15" i="84" s="1"/>
  <c r="F17" i="92"/>
  <c r="K50" i="86"/>
  <c r="A51" i="86"/>
  <c r="K42" i="106"/>
  <c r="E68" i="83" l="1"/>
  <c r="E24" i="1"/>
  <c r="A25" i="69"/>
  <c r="Q23" i="69"/>
  <c r="A54" i="89"/>
  <c r="K53" i="89"/>
  <c r="A23" i="75"/>
  <c r="J22" i="75"/>
  <c r="A72" i="73"/>
  <c r="R71" i="73"/>
  <c r="A12" i="85"/>
  <c r="N11" i="85"/>
  <c r="I42" i="92"/>
  <c r="A43" i="92"/>
  <c r="A20" i="47"/>
  <c r="H19" i="47"/>
  <c r="G58" i="83"/>
  <c r="A48" i="47"/>
  <c r="F49" i="47"/>
  <c r="A115" i="5"/>
  <c r="L114" i="5"/>
  <c r="A36" i="78"/>
  <c r="Q35" i="78"/>
  <c r="A118" i="77"/>
  <c r="Q117" i="77"/>
  <c r="A51" i="5"/>
  <c r="L50" i="5"/>
  <c r="D64" i="83"/>
  <c r="D60" i="83"/>
  <c r="D56" i="83"/>
  <c r="D65" i="83"/>
  <c r="D61" i="83"/>
  <c r="D57" i="83"/>
  <c r="D66" i="83"/>
  <c r="D62" i="83"/>
  <c r="D58" i="83"/>
  <c r="E55" i="83"/>
  <c r="D63" i="83"/>
  <c r="D67" i="83"/>
  <c r="D59" i="83"/>
  <c r="A16" i="2"/>
  <c r="G15" i="2"/>
  <c r="A69" i="47"/>
  <c r="H68" i="47"/>
  <c r="H89" i="75"/>
  <c r="I88" i="75"/>
  <c r="P13" i="84"/>
  <c r="A16" i="78"/>
  <c r="Q15" i="78"/>
  <c r="A23" i="80"/>
  <c r="N23" i="80" s="1"/>
  <c r="N22" i="80"/>
  <c r="A19" i="73"/>
  <c r="R18" i="73"/>
  <c r="A14" i="70"/>
  <c r="H13" i="70"/>
  <c r="H132" i="80"/>
  <c r="E144" i="80"/>
  <c r="E163" i="80" s="1"/>
  <c r="A43" i="79"/>
  <c r="J42" i="79"/>
  <c r="A34" i="85"/>
  <c r="N33" i="85"/>
  <c r="A97" i="75"/>
  <c r="J96" i="75"/>
  <c r="P32" i="84"/>
  <c r="F18" i="75"/>
  <c r="F94" i="75"/>
  <c r="E95" i="75"/>
  <c r="G34" i="85"/>
  <c r="A25" i="105"/>
  <c r="N23" i="105"/>
  <c r="K26" i="86"/>
  <c r="A27" i="86"/>
  <c r="K27" i="86" s="1"/>
  <c r="A17" i="81"/>
  <c r="F16" i="81"/>
  <c r="A14" i="90"/>
  <c r="F13" i="90"/>
  <c r="A24" i="89"/>
  <c r="K23" i="89"/>
  <c r="A44" i="73"/>
  <c r="R43" i="73"/>
  <c r="Q18" i="73"/>
  <c r="A20" i="103"/>
  <c r="BH19" i="103"/>
  <c r="A38" i="80"/>
  <c r="N37" i="80"/>
  <c r="A17" i="84"/>
  <c r="Q16" i="84"/>
  <c r="E161" i="80"/>
  <c r="H149" i="80"/>
  <c r="H52" i="75"/>
  <c r="F15" i="75"/>
  <c r="P34" i="84"/>
  <c r="A20" i="72"/>
  <c r="J19" i="72"/>
  <c r="A86" i="1"/>
  <c r="H85" i="1"/>
  <c r="A19" i="68"/>
  <c r="G16" i="68"/>
  <c r="A56" i="85"/>
  <c r="N55" i="85"/>
  <c r="A49" i="103"/>
  <c r="BH48" i="103"/>
  <c r="K51" i="86"/>
  <c r="A52" i="86"/>
  <c r="BJ110" i="104"/>
  <c r="A111" i="104"/>
  <c r="BJ111" i="104" s="1"/>
  <c r="P17" i="84"/>
  <c r="H88" i="47"/>
  <c r="A89" i="47"/>
  <c r="A118" i="80"/>
  <c r="N117" i="80"/>
  <c r="E59" i="75"/>
  <c r="F58" i="75"/>
  <c r="F21" i="75" s="1"/>
  <c r="E21" i="75"/>
  <c r="A30" i="2"/>
  <c r="G28" i="2"/>
  <c r="N60" i="80"/>
  <c r="A62" i="80"/>
  <c r="G115" i="80"/>
  <c r="A19" i="79"/>
  <c r="J18" i="79"/>
  <c r="F16" i="75"/>
  <c r="K40" i="86"/>
  <c r="A41" i="86"/>
  <c r="K41" i="86" s="1"/>
  <c r="A15" i="1"/>
  <c r="H14" i="1"/>
  <c r="A139" i="80"/>
  <c r="N138" i="80"/>
  <c r="A29" i="71"/>
  <c r="K28" i="71"/>
  <c r="P12" i="84"/>
  <c r="A47" i="76"/>
  <c r="R46" i="76"/>
  <c r="A23" i="5"/>
  <c r="L22" i="5"/>
  <c r="A39" i="83"/>
  <c r="K39" i="83" s="1"/>
  <c r="K38" i="83"/>
  <c r="A107" i="1"/>
  <c r="F108" i="1"/>
  <c r="H106" i="1"/>
  <c r="G49" i="89"/>
  <c r="P25" i="84"/>
  <c r="F86" i="47"/>
  <c r="A133" i="1"/>
  <c r="H132" i="1"/>
  <c r="A20" i="92"/>
  <c r="I19" i="92"/>
  <c r="G20" i="92"/>
  <c r="BJ19" i="104"/>
  <c r="A20" i="104"/>
  <c r="A60" i="83"/>
  <c r="K59" i="83"/>
  <c r="A59" i="75"/>
  <c r="J58" i="75"/>
  <c r="A48" i="104"/>
  <c r="BJ47" i="104"/>
  <c r="A109" i="103"/>
  <c r="BH108" i="103"/>
  <c r="P27" i="84"/>
  <c r="A22" i="76"/>
  <c r="R21" i="76"/>
  <c r="F20" i="75"/>
  <c r="H45" i="1"/>
  <c r="A47" i="1"/>
  <c r="F47" i="1"/>
  <c r="A84" i="77"/>
  <c r="Q83" i="77"/>
  <c r="P11" i="84"/>
  <c r="N10" i="84"/>
  <c r="C21" i="90" s="1"/>
  <c r="A70" i="76"/>
  <c r="R69" i="76"/>
  <c r="Q19" i="76"/>
  <c r="P14" i="84"/>
  <c r="L85" i="5"/>
  <c r="A86" i="5"/>
  <c r="O10" i="84"/>
  <c r="P35" i="84"/>
  <c r="E17" i="2"/>
  <c r="A26" i="106"/>
  <c r="N24" i="106"/>
  <c r="P33" i="84"/>
  <c r="P18" i="84"/>
  <c r="BJ48" i="104" l="1"/>
  <c r="A49" i="104"/>
  <c r="A60" i="75"/>
  <c r="J59" i="75"/>
  <c r="A48" i="76"/>
  <c r="R47" i="76"/>
  <c r="A21" i="47"/>
  <c r="H20" i="47"/>
  <c r="A85" i="77"/>
  <c r="Q84" i="77"/>
  <c r="A134" i="1"/>
  <c r="H133" i="1"/>
  <c r="A24" i="5"/>
  <c r="L23" i="5"/>
  <c r="H15" i="1"/>
  <c r="A16" i="1"/>
  <c r="F16" i="1"/>
  <c r="F17" i="81"/>
  <c r="A18" i="81"/>
  <c r="H69" i="47"/>
  <c r="A70" i="47"/>
  <c r="A13" i="85"/>
  <c r="N12" i="85"/>
  <c r="H86" i="1"/>
  <c r="A87" i="1"/>
  <c r="A39" i="80"/>
  <c r="N38" i="80"/>
  <c r="A98" i="75"/>
  <c r="J97" i="75"/>
  <c r="A20" i="73"/>
  <c r="R19" i="73"/>
  <c r="H48" i="47"/>
  <c r="A49" i="47"/>
  <c r="L86" i="5"/>
  <c r="A87" i="5"/>
  <c r="A50" i="1"/>
  <c r="H47" i="1"/>
  <c r="A31" i="2"/>
  <c r="G30" i="2"/>
  <c r="A17" i="2"/>
  <c r="G16" i="2"/>
  <c r="A73" i="73"/>
  <c r="R72" i="73"/>
  <c r="A21" i="72"/>
  <c r="J20" i="72"/>
  <c r="A21" i="103"/>
  <c r="BH20" i="103"/>
  <c r="A35" i="85"/>
  <c r="N34" i="85"/>
  <c r="G57" i="83"/>
  <c r="G48" i="89"/>
  <c r="A53" i="86"/>
  <c r="K52" i="86"/>
  <c r="A27" i="105"/>
  <c r="N25" i="105"/>
  <c r="A24" i="75"/>
  <c r="J23" i="75"/>
  <c r="H53" i="75"/>
  <c r="H15" i="75"/>
  <c r="I52" i="75"/>
  <c r="I15" i="75" s="1"/>
  <c r="E56" i="83"/>
  <c r="E57" i="83" s="1"/>
  <c r="E58" i="83" s="1"/>
  <c r="E59" i="83" s="1"/>
  <c r="E60" i="83" s="1"/>
  <c r="E61" i="83" s="1"/>
  <c r="E62" i="83" s="1"/>
  <c r="E63" i="83" s="1"/>
  <c r="E64" i="83" s="1"/>
  <c r="E65" i="83" s="1"/>
  <c r="E66" i="83" s="1"/>
  <c r="E67" i="83" s="1"/>
  <c r="J55" i="83"/>
  <c r="F21" i="47"/>
  <c r="A119" i="77"/>
  <c r="Q118" i="77"/>
  <c r="A44" i="92"/>
  <c r="I43" i="92"/>
  <c r="A55" i="89"/>
  <c r="K54" i="89"/>
  <c r="A61" i="83"/>
  <c r="K60" i="83"/>
  <c r="A20" i="79"/>
  <c r="J19" i="79"/>
  <c r="A23" i="76"/>
  <c r="R22" i="76"/>
  <c r="E96" i="75"/>
  <c r="F95" i="75"/>
  <c r="A71" i="76"/>
  <c r="R70" i="76"/>
  <c r="Q20" i="76"/>
  <c r="A108" i="1"/>
  <c r="H107" i="1"/>
  <c r="N62" i="80"/>
  <c r="A63" i="80"/>
  <c r="E69" i="80"/>
  <c r="J149" i="80"/>
  <c r="H161" i="80"/>
  <c r="A25" i="89"/>
  <c r="K24" i="89"/>
  <c r="J132" i="80"/>
  <c r="H144" i="80"/>
  <c r="A44" i="79"/>
  <c r="J43" i="79"/>
  <c r="A17" i="78"/>
  <c r="Q16" i="78"/>
  <c r="K29" i="71"/>
  <c r="A30" i="71"/>
  <c r="A45" i="73"/>
  <c r="Q19" i="73"/>
  <c r="R44" i="73"/>
  <c r="C23" i="90"/>
  <c r="C24" i="90"/>
  <c r="H90" i="75"/>
  <c r="I89" i="75"/>
  <c r="A37" i="78"/>
  <c r="Q36" i="78"/>
  <c r="A27" i="69"/>
  <c r="Q25" i="69"/>
  <c r="A110" i="103"/>
  <c r="BH109" i="103"/>
  <c r="A119" i="80"/>
  <c r="N118" i="80"/>
  <c r="A57" i="85"/>
  <c r="N56" i="85"/>
  <c r="P10" i="84"/>
  <c r="A23" i="92"/>
  <c r="I20" i="92"/>
  <c r="A140" i="80"/>
  <c r="N139" i="80"/>
  <c r="A90" i="47"/>
  <c r="H89" i="47"/>
  <c r="A15" i="90"/>
  <c r="F14" i="90"/>
  <c r="D15" i="90"/>
  <c r="A52" i="5"/>
  <c r="L51" i="5"/>
  <c r="A21" i="104"/>
  <c r="BJ20" i="104"/>
  <c r="G114" i="80"/>
  <c r="F59" i="75"/>
  <c r="F22" i="75" s="1"/>
  <c r="E60" i="75"/>
  <c r="E22" i="75"/>
  <c r="A50" i="103"/>
  <c r="BH49" i="103"/>
  <c r="A28" i="106"/>
  <c r="N26" i="106"/>
  <c r="A20" i="68"/>
  <c r="G19" i="68"/>
  <c r="A18" i="84"/>
  <c r="Q17" i="84"/>
  <c r="A17" i="70"/>
  <c r="H14" i="70"/>
  <c r="A116" i="5"/>
  <c r="L115" i="5"/>
  <c r="A50" i="47" l="1"/>
  <c r="F85" i="47" s="1"/>
  <c r="F71" i="47"/>
  <c r="A24" i="92"/>
  <c r="I23" i="92"/>
  <c r="A14" i="85"/>
  <c r="N13" i="85"/>
  <c r="A135" i="1"/>
  <c r="H134" i="1"/>
  <c r="F88" i="47"/>
  <c r="A64" i="80"/>
  <c r="N63" i="80"/>
  <c r="A54" i="86"/>
  <c r="K53" i="86"/>
  <c r="A30" i="106"/>
  <c r="N28" i="106"/>
  <c r="A53" i="5"/>
  <c r="L52" i="5"/>
  <c r="F4" i="84"/>
  <c r="E125" i="1"/>
  <c r="A45" i="79"/>
  <c r="J44" i="79"/>
  <c r="A21" i="79"/>
  <c r="J20" i="79"/>
  <c r="G47" i="89"/>
  <c r="R73" i="73"/>
  <c r="A74" i="73"/>
  <c r="F50" i="47"/>
  <c r="A22" i="72"/>
  <c r="J21" i="72"/>
  <c r="H91" i="75"/>
  <c r="I90" i="75"/>
  <c r="A110" i="1"/>
  <c r="F69" i="47"/>
  <c r="H108" i="1"/>
  <c r="F118" i="1"/>
  <c r="H70" i="47"/>
  <c r="A71" i="47"/>
  <c r="A86" i="77"/>
  <c r="Q85" i="77"/>
  <c r="A24" i="76"/>
  <c r="R23" i="76"/>
  <c r="A22" i="104"/>
  <c r="BJ21" i="104"/>
  <c r="A38" i="78"/>
  <c r="Q37" i="78"/>
  <c r="A58" i="85"/>
  <c r="N57" i="85"/>
  <c r="A62" i="83"/>
  <c r="K61" i="83"/>
  <c r="L116" i="5"/>
  <c r="A117" i="5"/>
  <c r="F33" i="85"/>
  <c r="H44" i="80"/>
  <c r="H45" i="80" s="1"/>
  <c r="E116" i="76"/>
  <c r="F116" i="76" s="1"/>
  <c r="E115" i="76"/>
  <c r="F115" i="76" s="1"/>
  <c r="D51" i="77"/>
  <c r="E51" i="77" s="1"/>
  <c r="E114" i="73"/>
  <c r="F114" i="73" s="1"/>
  <c r="E115" i="73"/>
  <c r="F115" i="73" s="1"/>
  <c r="E90" i="1"/>
  <c r="E91" i="1" s="1"/>
  <c r="J144" i="80"/>
  <c r="J146" i="80" s="1"/>
  <c r="L146" i="80" s="1"/>
  <c r="M146" i="80" s="1"/>
  <c r="H16" i="75"/>
  <c r="H54" i="75"/>
  <c r="I53" i="75"/>
  <c r="I16" i="75" s="1"/>
  <c r="E18" i="2"/>
  <c r="A18" i="2"/>
  <c r="G17" i="2"/>
  <c r="A21" i="73"/>
  <c r="R20" i="73"/>
  <c r="D17" i="81"/>
  <c r="A20" i="81"/>
  <c r="F20" i="81" s="1"/>
  <c r="F18" i="81"/>
  <c r="H21" i="47"/>
  <c r="A23" i="47"/>
  <c r="I64" i="80"/>
  <c r="A51" i="103"/>
  <c r="BH50" i="103"/>
  <c r="D14" i="82"/>
  <c r="D15" i="82" s="1"/>
  <c r="E49" i="82"/>
  <c r="E50" i="82" s="1"/>
  <c r="D49" i="82"/>
  <c r="D50" i="82" s="1"/>
  <c r="E52" i="82" s="1"/>
  <c r="H63" i="80"/>
  <c r="H64" i="80" s="1"/>
  <c r="H98" i="80"/>
  <c r="H99" i="80" s="1"/>
  <c r="E14" i="82"/>
  <c r="E15" i="82" s="1"/>
  <c r="I54" i="79"/>
  <c r="E101" i="76"/>
  <c r="F101" i="76" s="1"/>
  <c r="H82" i="80"/>
  <c r="H83" i="80" s="1"/>
  <c r="D38" i="77"/>
  <c r="E38" i="77" s="1"/>
  <c r="E102" i="76"/>
  <c r="F102" i="76" s="1"/>
  <c r="E101" i="73"/>
  <c r="F101" i="73" s="1"/>
  <c r="E100" i="73"/>
  <c r="F100" i="73" s="1"/>
  <c r="A72" i="76"/>
  <c r="R71" i="76"/>
  <c r="Q21" i="76"/>
  <c r="A26" i="89"/>
  <c r="K26" i="89" s="1"/>
  <c r="K25" i="89"/>
  <c r="A25" i="75"/>
  <c r="J24" i="75"/>
  <c r="A32" i="2"/>
  <c r="G31" i="2"/>
  <c r="E32" i="2"/>
  <c r="A99" i="75"/>
  <c r="J98" i="75"/>
  <c r="A21" i="68"/>
  <c r="G20" i="68"/>
  <c r="A18" i="78"/>
  <c r="Q17" i="78"/>
  <c r="H146" i="80"/>
  <c r="H163" i="80"/>
  <c r="G56" i="83"/>
  <c r="E61" i="75"/>
  <c r="E23" i="75"/>
  <c r="F60" i="75"/>
  <c r="F23" i="75" s="1"/>
  <c r="H17" i="70"/>
  <c r="A18" i="70"/>
  <c r="H90" i="47"/>
  <c r="F91" i="47"/>
  <c r="A91" i="47"/>
  <c r="A113" i="103"/>
  <c r="BH113" i="103" s="1"/>
  <c r="A111" i="103"/>
  <c r="BH110" i="103"/>
  <c r="R45" i="73"/>
  <c r="Q20" i="73"/>
  <c r="A46" i="73"/>
  <c r="A45" i="92"/>
  <c r="I44" i="92"/>
  <c r="A36" i="85"/>
  <c r="N35" i="85"/>
  <c r="A19" i="1"/>
  <c r="H16" i="1"/>
  <c r="A49" i="76"/>
  <c r="R48" i="76"/>
  <c r="A17" i="90"/>
  <c r="F15" i="90"/>
  <c r="D20" i="90"/>
  <c r="D17" i="90"/>
  <c r="F96" i="75"/>
  <c r="E97" i="75"/>
  <c r="H50" i="1"/>
  <c r="A51" i="1"/>
  <c r="A40" i="80"/>
  <c r="N39" i="80"/>
  <c r="N119" i="80"/>
  <c r="A120" i="80"/>
  <c r="A56" i="89"/>
  <c r="K55" i="89"/>
  <c r="F11" i="71"/>
  <c r="K30" i="71"/>
  <c r="F10" i="71"/>
  <c r="F6" i="71"/>
  <c r="J161" i="80"/>
  <c r="Q18" i="84"/>
  <c r="A19" i="84"/>
  <c r="G113" i="80"/>
  <c r="A141" i="80"/>
  <c r="N140" i="80"/>
  <c r="Q27" i="69"/>
  <c r="A29" i="69"/>
  <c r="A120" i="77"/>
  <c r="Q119" i="77"/>
  <c r="A29" i="105"/>
  <c r="N27" i="105"/>
  <c r="A22" i="103"/>
  <c r="BH21" i="103"/>
  <c r="A88" i="5"/>
  <c r="L87" i="5"/>
  <c r="A88" i="1"/>
  <c r="H87" i="1"/>
  <c r="F88" i="1"/>
  <c r="A61" i="75"/>
  <c r="J60" i="75"/>
  <c r="B135" i="5"/>
  <c r="A25" i="5"/>
  <c r="L24" i="5"/>
  <c r="A50" i="104"/>
  <c r="BJ49" i="104"/>
  <c r="A22" i="79" l="1"/>
  <c r="J21" i="79"/>
  <c r="E10" i="80"/>
  <c r="N64" i="80"/>
  <c r="A67" i="80"/>
  <c r="A31" i="105"/>
  <c r="N29" i="105"/>
  <c r="A142" i="80"/>
  <c r="N141" i="80"/>
  <c r="G112" i="80"/>
  <c r="A100" i="75"/>
  <c r="J99" i="75"/>
  <c r="H101" i="73"/>
  <c r="G101" i="73"/>
  <c r="D128" i="73"/>
  <c r="H115" i="76"/>
  <c r="F117" i="76"/>
  <c r="G115" i="76"/>
  <c r="A39" i="78"/>
  <c r="Q38" i="78"/>
  <c r="H110" i="1"/>
  <c r="A112" i="1"/>
  <c r="F133" i="1"/>
  <c r="H55" i="75"/>
  <c r="H17" i="75"/>
  <c r="I54" i="75"/>
  <c r="I17" i="75" s="1"/>
  <c r="H88" i="1"/>
  <c r="A90" i="1"/>
  <c r="H100" i="73"/>
  <c r="G100" i="73"/>
  <c r="F102" i="73"/>
  <c r="D127" i="73"/>
  <c r="D129" i="73" s="1"/>
  <c r="E8" i="47" s="1"/>
  <c r="A22" i="73"/>
  <c r="R21" i="73"/>
  <c r="A20" i="84"/>
  <c r="Q19" i="84"/>
  <c r="H102" i="76"/>
  <c r="G102" i="76"/>
  <c r="E128" i="76" s="1"/>
  <c r="D24" i="92" s="1"/>
  <c r="D128" i="76"/>
  <c r="G18" i="2"/>
  <c r="E23" i="2"/>
  <c r="H116" i="76"/>
  <c r="G116" i="76"/>
  <c r="A46" i="79"/>
  <c r="J45" i="79"/>
  <c r="Q21" i="73"/>
  <c r="A47" i="73"/>
  <c r="R46" i="73"/>
  <c r="G51" i="77"/>
  <c r="F51" i="77"/>
  <c r="A20" i="90"/>
  <c r="F17" i="90"/>
  <c r="A23" i="103"/>
  <c r="BH23" i="103" s="1"/>
  <c r="BH22" i="103"/>
  <c r="A41" i="80"/>
  <c r="N40" i="80"/>
  <c r="E24" i="75"/>
  <c r="E62" i="75"/>
  <c r="F61" i="75"/>
  <c r="G38" i="77"/>
  <c r="E61" i="77" s="1"/>
  <c r="E39" i="92" s="1"/>
  <c r="F38" i="77"/>
  <c r="D61" i="77" s="1"/>
  <c r="D39" i="92" s="1"/>
  <c r="F39" i="92" s="1"/>
  <c r="C61" i="77"/>
  <c r="E128" i="1" s="1"/>
  <c r="BH51" i="103"/>
  <c r="A52" i="103"/>
  <c r="A23" i="104"/>
  <c r="BJ23" i="104" s="1"/>
  <c r="BJ22" i="104"/>
  <c r="H92" i="75"/>
  <c r="I91" i="75"/>
  <c r="E80" i="47"/>
  <c r="A136" i="1"/>
  <c r="H135" i="1"/>
  <c r="F89" i="47"/>
  <c r="H101" i="76"/>
  <c r="F103" i="76"/>
  <c r="G101" i="76"/>
  <c r="D127" i="76"/>
  <c r="D129" i="76" s="1"/>
  <c r="E20" i="47" s="1"/>
  <c r="A57" i="89"/>
  <c r="K56" i="89"/>
  <c r="A121" i="80"/>
  <c r="N120" i="80"/>
  <c r="E18" i="82"/>
  <c r="A89" i="5"/>
  <c r="L88" i="5"/>
  <c r="A51" i="104"/>
  <c r="BJ50" i="104"/>
  <c r="A52" i="1"/>
  <c r="H51" i="1"/>
  <c r="A50" i="76"/>
  <c r="R49" i="76"/>
  <c r="A112" i="103"/>
  <c r="BH112" i="103" s="1"/>
  <c r="BH111" i="103"/>
  <c r="G55" i="83"/>
  <c r="H56" i="83"/>
  <c r="I56" i="83" s="1"/>
  <c r="J56" i="83" s="1"/>
  <c r="A34" i="2"/>
  <c r="G32" i="2"/>
  <c r="E34" i="2"/>
  <c r="K33" i="85"/>
  <c r="F34" i="85"/>
  <c r="K34" i="85" s="1"/>
  <c r="A23" i="72"/>
  <c r="J22" i="72"/>
  <c r="A15" i="85"/>
  <c r="N14" i="85"/>
  <c r="A54" i="5"/>
  <c r="L53" i="5"/>
  <c r="A87" i="77"/>
  <c r="Q87" i="77" s="1"/>
  <c r="Q98" i="77" s="1"/>
  <c r="Q86" i="77"/>
  <c r="A75" i="73"/>
  <c r="R75" i="73" s="1"/>
  <c r="R74" i="73"/>
  <c r="A118" i="5"/>
  <c r="L117" i="5"/>
  <c r="F97" i="75"/>
  <c r="E98" i="75"/>
  <c r="H19" i="1"/>
  <c r="F21" i="1"/>
  <c r="A20" i="1"/>
  <c r="A32" i="106"/>
  <c r="N30" i="106"/>
  <c r="A25" i="92"/>
  <c r="I24" i="92"/>
  <c r="A27" i="5"/>
  <c r="L25" i="5"/>
  <c r="A25" i="76"/>
  <c r="R24" i="76"/>
  <c r="H91" i="47"/>
  <c r="A94" i="47"/>
  <c r="J25" i="75"/>
  <c r="A26" i="75"/>
  <c r="Q29" i="69"/>
  <c r="A31" i="69"/>
  <c r="N36" i="85"/>
  <c r="A37" i="85"/>
  <c r="Q18" i="78"/>
  <c r="A19" i="78"/>
  <c r="A63" i="83"/>
  <c r="K62" i="83"/>
  <c r="G25" i="92"/>
  <c r="I60" i="79"/>
  <c r="I57" i="79"/>
  <c r="F25" i="47"/>
  <c r="H23" i="47"/>
  <c r="A26" i="47"/>
  <c r="A121" i="77"/>
  <c r="Q120" i="77"/>
  <c r="A62" i="75"/>
  <c r="J61" i="75"/>
  <c r="A19" i="70"/>
  <c r="H18" i="70"/>
  <c r="H115" i="73"/>
  <c r="G115" i="73"/>
  <c r="H47" i="89"/>
  <c r="I47" i="89" s="1"/>
  <c r="J47" i="89" s="1"/>
  <c r="G46" i="89"/>
  <c r="A55" i="86"/>
  <c r="K54" i="86"/>
  <c r="A46" i="92"/>
  <c r="I45" i="92"/>
  <c r="A22" i="68"/>
  <c r="G21" i="68"/>
  <c r="A73" i="76"/>
  <c r="R72" i="76"/>
  <c r="Q22" i="76"/>
  <c r="F116" i="73"/>
  <c r="G114" i="73"/>
  <c r="G116" i="73" s="1"/>
  <c r="H114" i="73"/>
  <c r="N58" i="85"/>
  <c r="A59" i="85"/>
  <c r="A21" i="84" l="1"/>
  <c r="Q20" i="84"/>
  <c r="A101" i="75"/>
  <c r="J100" i="75"/>
  <c r="A27" i="75"/>
  <c r="J26" i="75"/>
  <c r="H94" i="47"/>
  <c r="A95" i="47"/>
  <c r="F96" i="47" s="1"/>
  <c r="Q19" i="78"/>
  <c r="A21" i="78"/>
  <c r="Q21" i="78" s="1"/>
  <c r="E99" i="75"/>
  <c r="F98" i="75"/>
  <c r="A16" i="85"/>
  <c r="N15" i="85"/>
  <c r="A122" i="80"/>
  <c r="N121" i="80"/>
  <c r="K80" i="47"/>
  <c r="F62" i="75"/>
  <c r="F25" i="75" s="1"/>
  <c r="E25" i="75"/>
  <c r="E63" i="75"/>
  <c r="F110" i="1"/>
  <c r="H112" i="1"/>
  <c r="A115" i="1"/>
  <c r="F149" i="1"/>
  <c r="G34" i="2"/>
  <c r="A25" i="68"/>
  <c r="G22" i="68"/>
  <c r="A48" i="73"/>
  <c r="R47" i="73"/>
  <c r="Q22" i="73"/>
  <c r="A63" i="75"/>
  <c r="J62" i="75"/>
  <c r="A47" i="92"/>
  <c r="I46" i="92"/>
  <c r="A23" i="73"/>
  <c r="R22" i="73"/>
  <c r="G111" i="80"/>
  <c r="A58" i="89"/>
  <c r="K57" i="89"/>
  <c r="H93" i="75"/>
  <c r="I92" i="75"/>
  <c r="J46" i="79"/>
  <c r="A47" i="79"/>
  <c r="K8" i="47"/>
  <c r="E10" i="47"/>
  <c r="A38" i="85"/>
  <c r="N37" i="85"/>
  <c r="A51" i="76"/>
  <c r="R50" i="76"/>
  <c r="H26" i="47"/>
  <c r="A27" i="47"/>
  <c r="A40" i="78"/>
  <c r="Q39" i="78"/>
  <c r="A143" i="80"/>
  <c r="N142" i="80"/>
  <c r="A60" i="85"/>
  <c r="N59" i="85"/>
  <c r="A122" i="77"/>
  <c r="Q122" i="77" s="1"/>
  <c r="Q121" i="77"/>
  <c r="A26" i="76"/>
  <c r="R25" i="76"/>
  <c r="A24" i="72"/>
  <c r="J24" i="72" s="1"/>
  <c r="J23" i="72"/>
  <c r="K55" i="86"/>
  <c r="A56" i="86"/>
  <c r="K20" i="47"/>
  <c r="E21" i="47"/>
  <c r="K21" i="47" s="1"/>
  <c r="A43" i="80"/>
  <c r="N41" i="80"/>
  <c r="H116" i="73"/>
  <c r="H57" i="89"/>
  <c r="I57" i="89" s="1"/>
  <c r="H58" i="89"/>
  <c r="I58" i="89" s="1"/>
  <c r="H55" i="89"/>
  <c r="I55" i="89" s="1"/>
  <c r="H54" i="89"/>
  <c r="I54" i="89" s="1"/>
  <c r="H56" i="89"/>
  <c r="I56" i="89" s="1"/>
  <c r="H53" i="89"/>
  <c r="I53" i="89" s="1"/>
  <c r="H52" i="89"/>
  <c r="I52" i="89" s="1"/>
  <c r="H51" i="89"/>
  <c r="I51" i="89" s="1"/>
  <c r="H50" i="89"/>
  <c r="I50" i="89" s="1"/>
  <c r="H49" i="89"/>
  <c r="I49" i="89" s="1"/>
  <c r="H48" i="89"/>
  <c r="I48" i="89" s="1"/>
  <c r="A33" i="69"/>
  <c r="Q31" i="69"/>
  <c r="B7" i="5"/>
  <c r="L27" i="5"/>
  <c r="L118" i="5"/>
  <c r="A119" i="5"/>
  <c r="G103" i="76"/>
  <c r="E127" i="76"/>
  <c r="E129" i="76" s="1"/>
  <c r="G102" i="73"/>
  <c r="E127" i="73"/>
  <c r="G117" i="76"/>
  <c r="J48" i="89"/>
  <c r="J49" i="89" s="1"/>
  <c r="J50" i="89" s="1"/>
  <c r="J51" i="89" s="1"/>
  <c r="J52" i="89" s="1"/>
  <c r="J53" i="89" s="1"/>
  <c r="A55" i="1"/>
  <c r="F42" i="47"/>
  <c r="H52" i="1"/>
  <c r="A53" i="103"/>
  <c r="BH52" i="103"/>
  <c r="F127" i="73"/>
  <c r="H102" i="73"/>
  <c r="A33" i="105"/>
  <c r="N31" i="105"/>
  <c r="I25" i="92"/>
  <c r="A27" i="92"/>
  <c r="F127" i="76"/>
  <c r="H103" i="76"/>
  <c r="F91" i="1"/>
  <c r="A91" i="1"/>
  <c r="H90" i="1"/>
  <c r="H117" i="76"/>
  <c r="A68" i="80"/>
  <c r="N67" i="80"/>
  <c r="E83" i="47"/>
  <c r="K83" i="47" s="1"/>
  <c r="D15" i="2"/>
  <c r="A21" i="90"/>
  <c r="F20" i="90"/>
  <c r="E20" i="1"/>
  <c r="E21" i="1" s="1"/>
  <c r="C60" i="90"/>
  <c r="E8" i="1"/>
  <c r="E10" i="1" s="1"/>
  <c r="C27" i="90"/>
  <c r="C29" i="90" s="1"/>
  <c r="C31" i="90"/>
  <c r="D25" i="92"/>
  <c r="E128" i="73"/>
  <c r="D12" i="92" s="1"/>
  <c r="A34" i="106"/>
  <c r="N32" i="106"/>
  <c r="A74" i="76"/>
  <c r="R73" i="76"/>
  <c r="Q23" i="76"/>
  <c r="H20" i="1"/>
  <c r="A21" i="1"/>
  <c r="H66" i="83"/>
  <c r="I66" i="83" s="1"/>
  <c r="H67" i="83"/>
  <c r="I67" i="83" s="1"/>
  <c r="H64" i="83"/>
  <c r="I64" i="83" s="1"/>
  <c r="H63" i="83"/>
  <c r="I63" i="83" s="1"/>
  <c r="H65" i="83"/>
  <c r="I65" i="83" s="1"/>
  <c r="H62" i="83"/>
  <c r="I62" i="83" s="1"/>
  <c r="H61" i="83"/>
  <c r="I61" i="83" s="1"/>
  <c r="H60" i="83"/>
  <c r="I60" i="83" s="1"/>
  <c r="H59" i="83"/>
  <c r="I59" i="83" s="1"/>
  <c r="H58" i="83"/>
  <c r="I58" i="83" s="1"/>
  <c r="H57" i="83"/>
  <c r="I57" i="83" s="1"/>
  <c r="J57" i="83" s="1"/>
  <c r="J58" i="83" s="1"/>
  <c r="J59" i="83" s="1"/>
  <c r="J60" i="83" s="1"/>
  <c r="J61" i="83" s="1"/>
  <c r="J62" i="83" s="1"/>
  <c r="J63" i="83" s="1"/>
  <c r="J64" i="83" s="1"/>
  <c r="J65" i="83" s="1"/>
  <c r="J66" i="83" s="1"/>
  <c r="J67" i="83" s="1"/>
  <c r="J69" i="83" s="1"/>
  <c r="C48" i="83" s="1"/>
  <c r="E24" i="47" s="1"/>
  <c r="K24" i="47" s="1"/>
  <c r="A90" i="5"/>
  <c r="L89" i="5"/>
  <c r="F90" i="47"/>
  <c r="F137" i="1"/>
  <c r="A137" i="1"/>
  <c r="H136" i="1"/>
  <c r="F128" i="76"/>
  <c r="E24" i="92" s="1"/>
  <c r="E25" i="92" s="1"/>
  <c r="F128" i="73"/>
  <c r="E12" i="92" s="1"/>
  <c r="E14" i="92" s="1"/>
  <c r="A52" i="104"/>
  <c r="BJ51" i="104"/>
  <c r="A20" i="70"/>
  <c r="H19" i="70"/>
  <c r="A64" i="83"/>
  <c r="K63" i="83"/>
  <c r="A55" i="5"/>
  <c r="L54" i="5"/>
  <c r="F24" i="75"/>
  <c r="H18" i="75"/>
  <c r="H56" i="75"/>
  <c r="I55" i="75"/>
  <c r="I18" i="75" s="1"/>
  <c r="J22" i="79"/>
  <c r="A23" i="79"/>
  <c r="N68" i="80" l="1"/>
  <c r="A69" i="80"/>
  <c r="N69" i="80" s="1"/>
  <c r="A144" i="80"/>
  <c r="N143" i="80"/>
  <c r="A48" i="79"/>
  <c r="J47" i="79"/>
  <c r="E64" i="75"/>
  <c r="E26" i="75"/>
  <c r="F63" i="75"/>
  <c r="F26" i="75" s="1"/>
  <c r="A21" i="70"/>
  <c r="H20" i="70"/>
  <c r="G22" i="70"/>
  <c r="H57" i="75"/>
  <c r="H19" i="75"/>
  <c r="I56" i="75"/>
  <c r="I19" i="75" s="1"/>
  <c r="A36" i="106"/>
  <c r="N34" i="106"/>
  <c r="A56" i="5"/>
  <c r="L55" i="5"/>
  <c r="F24" i="92"/>
  <c r="F25" i="92" s="1"/>
  <c r="F129" i="73"/>
  <c r="A57" i="86"/>
  <c r="K56" i="86"/>
  <c r="A64" i="75"/>
  <c r="J63" i="75"/>
  <c r="F99" i="75"/>
  <c r="E100" i="75"/>
  <c r="A65" i="83"/>
  <c r="K64" i="83"/>
  <c r="C33" i="90"/>
  <c r="C62" i="90"/>
  <c r="C64" i="90" s="1"/>
  <c r="E79" i="1" s="1"/>
  <c r="E80" i="1" s="1"/>
  <c r="E93" i="1" s="1"/>
  <c r="E132" i="1" s="1"/>
  <c r="E86" i="47" s="1"/>
  <c r="K86" i="47" s="1"/>
  <c r="A41" i="78"/>
  <c r="Q40" i="78"/>
  <c r="A54" i="103"/>
  <c r="BH53" i="103"/>
  <c r="A120" i="5"/>
  <c r="L120" i="5" s="1"/>
  <c r="L119" i="5"/>
  <c r="B134" i="5"/>
  <c r="H27" i="47"/>
  <c r="A28" i="47"/>
  <c r="H94" i="75"/>
  <c r="I93" i="75"/>
  <c r="R48" i="73"/>
  <c r="A49" i="73"/>
  <c r="Q23" i="73"/>
  <c r="A96" i="47"/>
  <c r="H95" i="47"/>
  <c r="A23" i="1"/>
  <c r="H21" i="1"/>
  <c r="A59" i="89"/>
  <c r="K58" i="89"/>
  <c r="F129" i="76"/>
  <c r="A56" i="1"/>
  <c r="H55" i="1"/>
  <c r="F63" i="1"/>
  <c r="R26" i="76"/>
  <c r="A27" i="76"/>
  <c r="R27" i="76" s="1"/>
  <c r="A26" i="68"/>
  <c r="G25" i="68"/>
  <c r="A53" i="104"/>
  <c r="BJ52" i="104"/>
  <c r="A75" i="76"/>
  <c r="R74" i="76"/>
  <c r="Q24" i="76"/>
  <c r="A52" i="76"/>
  <c r="R52" i="76" s="1"/>
  <c r="R51" i="76"/>
  <c r="G110" i="80"/>
  <c r="H111" i="80"/>
  <c r="K132" i="80" s="1"/>
  <c r="A28" i="75"/>
  <c r="J27" i="75"/>
  <c r="L90" i="5"/>
  <c r="A91" i="5"/>
  <c r="D23" i="90"/>
  <c r="A23" i="90"/>
  <c r="F21" i="90"/>
  <c r="D24" i="90"/>
  <c r="A28" i="92"/>
  <c r="I27" i="92"/>
  <c r="A35" i="69"/>
  <c r="Q33" i="69"/>
  <c r="A123" i="80"/>
  <c r="N122" i="80"/>
  <c r="J54" i="89"/>
  <c r="J55" i="89" s="1"/>
  <c r="J56" i="89" s="1"/>
  <c r="J57" i="89" s="1"/>
  <c r="J58" i="89" s="1"/>
  <c r="J60" i="89" s="1"/>
  <c r="E9" i="89" s="1"/>
  <c r="N38" i="85"/>
  <c r="A39" i="85"/>
  <c r="A24" i="73"/>
  <c r="R23" i="73"/>
  <c r="H115" i="1"/>
  <c r="A116" i="1"/>
  <c r="A102" i="75"/>
  <c r="J101" i="75"/>
  <c r="E24" i="82"/>
  <c r="G63" i="80"/>
  <c r="G64" i="80" s="1"/>
  <c r="D64" i="80" s="1"/>
  <c r="D10" i="80" s="1"/>
  <c r="G98" i="80"/>
  <c r="G99" i="80" s="1"/>
  <c r="D99" i="80" s="1"/>
  <c r="D12" i="80" s="1"/>
  <c r="G54" i="79"/>
  <c r="G82" i="80"/>
  <c r="G83" i="80" s="1"/>
  <c r="D83" i="80" s="1"/>
  <c r="D11" i="80" s="1"/>
  <c r="C56" i="90"/>
  <c r="K10" i="47"/>
  <c r="A17" i="85"/>
  <c r="N16" i="85"/>
  <c r="A93" i="1"/>
  <c r="H91" i="1"/>
  <c r="F93" i="1"/>
  <c r="A24" i="79"/>
  <c r="J23" i="79"/>
  <c r="N43" i="80"/>
  <c r="E48" i="80"/>
  <c r="A44" i="80"/>
  <c r="A61" i="85"/>
  <c r="N60" i="85"/>
  <c r="H137" i="1"/>
  <c r="A140" i="1"/>
  <c r="E14" i="2"/>
  <c r="F12" i="92"/>
  <c r="F14" i="92" s="1"/>
  <c r="D14" i="92"/>
  <c r="A35" i="105"/>
  <c r="N33" i="105"/>
  <c r="E129" i="73"/>
  <c r="G48" i="92"/>
  <c r="A48" i="92"/>
  <c r="I47" i="92"/>
  <c r="A22" i="84"/>
  <c r="Q21" i="84"/>
  <c r="A62" i="85" l="1"/>
  <c r="N61" i="85"/>
  <c r="A45" i="80"/>
  <c r="N44" i="80"/>
  <c r="A25" i="73"/>
  <c r="R25" i="73" s="1"/>
  <c r="R24" i="73"/>
  <c r="A24" i="90"/>
  <c r="F23" i="90"/>
  <c r="A58" i="1"/>
  <c r="H56" i="1"/>
  <c r="F64" i="1"/>
  <c r="F36" i="85"/>
  <c r="G44" i="80"/>
  <c r="G45" i="80" s="1"/>
  <c r="D45" i="80" s="1"/>
  <c r="D9" i="80" s="1"/>
  <c r="D13" i="80" s="1"/>
  <c r="C57" i="90"/>
  <c r="F41" i="85" s="1"/>
  <c r="A30" i="47"/>
  <c r="H28" i="47"/>
  <c r="F30" i="47"/>
  <c r="A66" i="83"/>
  <c r="K65" i="83"/>
  <c r="A57" i="5"/>
  <c r="L56" i="5"/>
  <c r="A76" i="76"/>
  <c r="R75" i="76"/>
  <c r="Q25" i="76"/>
  <c r="A60" i="89"/>
  <c r="K59" i="89"/>
  <c r="F64" i="75"/>
  <c r="E65" i="75"/>
  <c r="E27" i="75"/>
  <c r="N36" i="106"/>
  <c r="A38" i="106"/>
  <c r="N39" i="85"/>
  <c r="A40" i="85"/>
  <c r="E36" i="89"/>
  <c r="E22" i="89"/>
  <c r="E17" i="89" s="1"/>
  <c r="E38" i="89" s="1"/>
  <c r="E108" i="47" s="1"/>
  <c r="K108" i="47" s="1"/>
  <c r="L91" i="5"/>
  <c r="B72" i="5"/>
  <c r="C95" i="5"/>
  <c r="A124" i="80"/>
  <c r="N123" i="80"/>
  <c r="A49" i="79"/>
  <c r="J48" i="79"/>
  <c r="H95" i="75"/>
  <c r="I94" i="75"/>
  <c r="A37" i="105"/>
  <c r="N35" i="105"/>
  <c r="F100" i="75"/>
  <c r="E101" i="75"/>
  <c r="A25" i="79"/>
  <c r="J24" i="79"/>
  <c r="A54" i="104"/>
  <c r="BJ53" i="104"/>
  <c r="D24" i="82"/>
  <c r="D25" i="82" s="1"/>
  <c r="E27" i="82" s="1"/>
  <c r="E5" i="82" s="1"/>
  <c r="E27" i="47" s="1"/>
  <c r="K27" i="47" s="1"/>
  <c r="N27" i="47" s="1"/>
  <c r="N30" i="47" s="1"/>
  <c r="E25" i="82"/>
  <c r="F25" i="1"/>
  <c r="H23" i="1"/>
  <c r="A26" i="1"/>
  <c r="D40" i="82"/>
  <c r="D41" i="82" s="1"/>
  <c r="E43" i="82" s="1"/>
  <c r="H54" i="79"/>
  <c r="E40" i="82"/>
  <c r="E41" i="82" s="1"/>
  <c r="I45" i="80"/>
  <c r="G57" i="79"/>
  <c r="G60" i="79"/>
  <c r="F94" i="47"/>
  <c r="E30" i="2"/>
  <c r="A141" i="1"/>
  <c r="H140" i="1"/>
  <c r="Q35" i="69"/>
  <c r="A37" i="69"/>
  <c r="A29" i="75"/>
  <c r="J28" i="75"/>
  <c r="A27" i="68"/>
  <c r="G26" i="68"/>
  <c r="H20" i="75"/>
  <c r="H58" i="75"/>
  <c r="I57" i="75"/>
  <c r="I20" i="75" s="1"/>
  <c r="A146" i="80"/>
  <c r="N144" i="80"/>
  <c r="A23" i="84"/>
  <c r="Q22" i="84"/>
  <c r="H93" i="1"/>
  <c r="F132" i="1"/>
  <c r="A103" i="75"/>
  <c r="J102" i="75"/>
  <c r="K149" i="80"/>
  <c r="L149" i="80" s="1"/>
  <c r="M149" i="80" s="1"/>
  <c r="L132" i="80"/>
  <c r="M132" i="80" s="1"/>
  <c r="H96" i="47"/>
  <c r="A98" i="47"/>
  <c r="F98" i="47"/>
  <c r="A55" i="103"/>
  <c r="BH54" i="103"/>
  <c r="A65" i="75"/>
  <c r="J64" i="75"/>
  <c r="H122" i="80"/>
  <c r="K143" i="80" s="1"/>
  <c r="H121" i="80"/>
  <c r="K142" i="80" s="1"/>
  <c r="H120" i="80"/>
  <c r="K141" i="80" s="1"/>
  <c r="H119" i="80"/>
  <c r="K140" i="80" s="1"/>
  <c r="H118" i="80"/>
  <c r="K139" i="80" s="1"/>
  <c r="H117" i="80"/>
  <c r="K138" i="80" s="1"/>
  <c r="H116" i="80"/>
  <c r="K137" i="80" s="1"/>
  <c r="H115" i="80"/>
  <c r="K136" i="80" s="1"/>
  <c r="H114" i="80"/>
  <c r="K135" i="80" s="1"/>
  <c r="H113" i="80"/>
  <c r="K134" i="80" s="1"/>
  <c r="H112" i="80"/>
  <c r="K133" i="80" s="1"/>
  <c r="A117" i="1"/>
  <c r="H116" i="1"/>
  <c r="A29" i="92"/>
  <c r="I28" i="92"/>
  <c r="A50" i="92"/>
  <c r="I48" i="92"/>
  <c r="A18" i="85"/>
  <c r="N17" i="85"/>
  <c r="A50" i="73"/>
  <c r="R50" i="73" s="1"/>
  <c r="R49" i="73"/>
  <c r="Q24" i="73"/>
  <c r="A42" i="78"/>
  <c r="Q41" i="78"/>
  <c r="A58" i="86"/>
  <c r="K57" i="86"/>
  <c r="A22" i="70"/>
  <c r="H21" i="70"/>
  <c r="A19" i="85" l="1"/>
  <c r="N18" i="85"/>
  <c r="K154" i="80"/>
  <c r="L154" i="80" s="1"/>
  <c r="L137" i="80"/>
  <c r="A101" i="47"/>
  <c r="H98" i="47"/>
  <c r="F103" i="47"/>
  <c r="A40" i="106"/>
  <c r="N38" i="106"/>
  <c r="A58" i="5"/>
  <c r="L57" i="5"/>
  <c r="H58" i="1"/>
  <c r="A59" i="1"/>
  <c r="F65" i="1"/>
  <c r="K155" i="80"/>
  <c r="L155" i="80" s="1"/>
  <c r="L138" i="80"/>
  <c r="H59" i="75"/>
  <c r="H21" i="75"/>
  <c r="I58" i="75"/>
  <c r="I21" i="75" s="1"/>
  <c r="C59" i="79"/>
  <c r="C56" i="79"/>
  <c r="A54" i="79"/>
  <c r="J49" i="79"/>
  <c r="BJ54" i="104"/>
  <c r="A55" i="104"/>
  <c r="A67" i="83"/>
  <c r="K66" i="83"/>
  <c r="A27" i="90"/>
  <c r="F24" i="90"/>
  <c r="F49" i="82"/>
  <c r="F14" i="82"/>
  <c r="E66" i="75"/>
  <c r="F65" i="75"/>
  <c r="E28" i="75"/>
  <c r="K158" i="80"/>
  <c r="L158" i="80" s="1"/>
  <c r="L141" i="80"/>
  <c r="A28" i="68"/>
  <c r="G27" i="68"/>
  <c r="A26" i="79"/>
  <c r="J26" i="79" s="1"/>
  <c r="J25" i="79"/>
  <c r="F27" i="75"/>
  <c r="K156" i="80"/>
  <c r="L156" i="80" s="1"/>
  <c r="L139" i="80"/>
  <c r="A24" i="70"/>
  <c r="H24" i="70" s="1"/>
  <c r="H22" i="70"/>
  <c r="G24" i="70"/>
  <c r="K157" i="80"/>
  <c r="L157" i="80" s="1"/>
  <c r="L140" i="80"/>
  <c r="A30" i="92"/>
  <c r="I29" i="92"/>
  <c r="E102" i="75"/>
  <c r="F101" i="75"/>
  <c r="H30" i="47"/>
  <c r="F66" i="47"/>
  <c r="F48" i="47"/>
  <c r="N124" i="80"/>
  <c r="E21" i="80"/>
  <c r="A59" i="86"/>
  <c r="K58" i="86"/>
  <c r="K159" i="80"/>
  <c r="L159" i="80" s="1"/>
  <c r="L142" i="80"/>
  <c r="A104" i="75"/>
  <c r="J103" i="75"/>
  <c r="K160" i="80"/>
  <c r="L160" i="80" s="1"/>
  <c r="L143" i="80"/>
  <c r="A30" i="75"/>
  <c r="J29" i="75"/>
  <c r="H57" i="79"/>
  <c r="F57" i="79" s="1"/>
  <c r="E14" i="47" s="1"/>
  <c r="H60" i="79"/>
  <c r="F60" i="79" s="1"/>
  <c r="K60" i="89"/>
  <c r="F9" i="89"/>
  <c r="K41" i="85"/>
  <c r="F42" i="85"/>
  <c r="N45" i="80"/>
  <c r="E9" i="80"/>
  <c r="A48" i="80"/>
  <c r="N48" i="80" s="1"/>
  <c r="A118" i="1"/>
  <c r="H117" i="1"/>
  <c r="K150" i="80"/>
  <c r="L150" i="80" s="1"/>
  <c r="M150" i="80" s="1"/>
  <c r="L133" i="80"/>
  <c r="M133" i="80" s="1"/>
  <c r="H26" i="1"/>
  <c r="A27" i="1"/>
  <c r="D121" i="80"/>
  <c r="I121" i="80" s="1"/>
  <c r="D117" i="80"/>
  <c r="I117" i="80" s="1"/>
  <c r="D113" i="80"/>
  <c r="I113" i="80" s="1"/>
  <c r="D119" i="80"/>
  <c r="I119" i="80" s="1"/>
  <c r="D115" i="80"/>
  <c r="I115" i="80" s="1"/>
  <c r="D111" i="80"/>
  <c r="E123" i="80"/>
  <c r="D122" i="80"/>
  <c r="I122" i="80" s="1"/>
  <c r="D118" i="80"/>
  <c r="I118" i="80" s="1"/>
  <c r="D114" i="80"/>
  <c r="I114" i="80" s="1"/>
  <c r="D116" i="80"/>
  <c r="I116" i="80" s="1"/>
  <c r="D112" i="80"/>
  <c r="I112" i="80" s="1"/>
  <c r="D120" i="80"/>
  <c r="I120" i="80" s="1"/>
  <c r="E23" i="1"/>
  <c r="E25" i="1" s="1"/>
  <c r="A39" i="105"/>
  <c r="N37" i="105"/>
  <c r="F38" i="85"/>
  <c r="K38" i="85" s="1"/>
  <c r="K36" i="85"/>
  <c r="N62" i="85"/>
  <c r="A63" i="85"/>
  <c r="I50" i="92"/>
  <c r="A52" i="92"/>
  <c r="A43" i="78"/>
  <c r="Q42" i="78"/>
  <c r="A39" i="69"/>
  <c r="Q39" i="69" s="1"/>
  <c r="Q37" i="69"/>
  <c r="A66" i="75"/>
  <c r="J65" i="75"/>
  <c r="K151" i="80"/>
  <c r="L151" i="80" s="1"/>
  <c r="M151" i="80" s="1"/>
  <c r="L134" i="80"/>
  <c r="A24" i="84"/>
  <c r="Q23" i="84"/>
  <c r="K152" i="80"/>
  <c r="L152" i="80" s="1"/>
  <c r="L135" i="80"/>
  <c r="A56" i="103"/>
  <c r="BH55" i="103"/>
  <c r="H141" i="1"/>
  <c r="F95" i="47"/>
  <c r="E31" i="2"/>
  <c r="A142" i="1"/>
  <c r="F142" i="1"/>
  <c r="A41" i="85"/>
  <c r="N40" i="85"/>
  <c r="A77" i="76"/>
  <c r="R77" i="76" s="1"/>
  <c r="R76" i="76"/>
  <c r="Q26" i="76"/>
  <c r="K153" i="80"/>
  <c r="L153" i="80" s="1"/>
  <c r="L136" i="80"/>
  <c r="A149" i="80"/>
  <c r="N146" i="80"/>
  <c r="E6" i="82"/>
  <c r="E27" i="1" s="1"/>
  <c r="H96" i="75"/>
  <c r="I95" i="75"/>
  <c r="E14" i="1" l="1"/>
  <c r="K14" i="47"/>
  <c r="A64" i="85"/>
  <c r="N63" i="85"/>
  <c r="A31" i="75"/>
  <c r="J30" i="75"/>
  <c r="F66" i="75"/>
  <c r="E29" i="75"/>
  <c r="E67" i="75"/>
  <c r="A56" i="79"/>
  <c r="C57" i="79" s="1"/>
  <c r="J54" i="79"/>
  <c r="A59" i="5"/>
  <c r="L58" i="5"/>
  <c r="A42" i="85"/>
  <c r="N41" i="85"/>
  <c r="M134" i="80"/>
  <c r="I111" i="80"/>
  <c r="J111" i="80" s="1"/>
  <c r="J112" i="80" s="1"/>
  <c r="J113" i="80" s="1"/>
  <c r="J114" i="80" s="1"/>
  <c r="J115" i="80" s="1"/>
  <c r="J116" i="80" s="1"/>
  <c r="J117" i="80" s="1"/>
  <c r="J118" i="80" s="1"/>
  <c r="J119" i="80" s="1"/>
  <c r="J120" i="80" s="1"/>
  <c r="J121" i="80" s="1"/>
  <c r="J122" i="80" s="1"/>
  <c r="J124" i="80" s="1"/>
  <c r="D21" i="80" s="1"/>
  <c r="D23" i="80" s="1"/>
  <c r="E23" i="47" s="1"/>
  <c r="E111" i="80"/>
  <c r="E112" i="80" s="1"/>
  <c r="E113" i="80" s="1"/>
  <c r="E114" i="80" s="1"/>
  <c r="E115" i="80" s="1"/>
  <c r="E116" i="80" s="1"/>
  <c r="E117" i="80" s="1"/>
  <c r="E118" i="80" s="1"/>
  <c r="E119" i="80" s="1"/>
  <c r="E120" i="80" s="1"/>
  <c r="E121" i="80" s="1"/>
  <c r="E122" i="80" s="1"/>
  <c r="A42" i="106"/>
  <c r="N40" i="106"/>
  <c r="A25" i="84"/>
  <c r="Q24" i="84"/>
  <c r="H97" i="75"/>
  <c r="I96" i="75"/>
  <c r="A144" i="1"/>
  <c r="H142" i="1"/>
  <c r="F144" i="1"/>
  <c r="A105" i="75"/>
  <c r="J104" i="75"/>
  <c r="F102" i="75"/>
  <c r="E103" i="75"/>
  <c r="A28" i="90"/>
  <c r="F27" i="90"/>
  <c r="D29" i="90"/>
  <c r="D16" i="2"/>
  <c r="A32" i="92"/>
  <c r="I32" i="92" s="1"/>
  <c r="I30" i="92"/>
  <c r="G32" i="92"/>
  <c r="A29" i="68"/>
  <c r="G28" i="68"/>
  <c r="H60" i="75"/>
  <c r="H22" i="75"/>
  <c r="I59" i="75"/>
  <c r="I22" i="75" s="1"/>
  <c r="C75" i="47"/>
  <c r="A103" i="47"/>
  <c r="H101" i="47"/>
  <c r="F44" i="85"/>
  <c r="K42" i="85"/>
  <c r="A150" i="80"/>
  <c r="N149" i="80"/>
  <c r="A68" i="83"/>
  <c r="K67" i="83"/>
  <c r="H118" i="1"/>
  <c r="A119" i="1"/>
  <c r="A67" i="75"/>
  <c r="J66" i="75"/>
  <c r="A28" i="1"/>
  <c r="H27" i="1"/>
  <c r="K59" i="86"/>
  <c r="A60" i="86"/>
  <c r="A56" i="104"/>
  <c r="BJ55" i="104"/>
  <c r="N39" i="105"/>
  <c r="A41" i="105"/>
  <c r="A57" i="103"/>
  <c r="BH56" i="103"/>
  <c r="A44" i="78"/>
  <c r="Q43" i="78"/>
  <c r="F28" i="75"/>
  <c r="A60" i="1"/>
  <c r="H59" i="1"/>
  <c r="A20" i="85"/>
  <c r="N19" i="85"/>
  <c r="M135" i="80"/>
  <c r="M136" i="80" s="1"/>
  <c r="M137" i="80" s="1"/>
  <c r="M138" i="80" s="1"/>
  <c r="M139" i="80" s="1"/>
  <c r="M140" i="80" s="1"/>
  <c r="M141" i="80" s="1"/>
  <c r="M142" i="80" s="1"/>
  <c r="M143" i="80" s="1"/>
  <c r="A53" i="92"/>
  <c r="I52" i="92"/>
  <c r="M152" i="80"/>
  <c r="M153" i="80" s="1"/>
  <c r="M154" i="80" s="1"/>
  <c r="M155" i="80" s="1"/>
  <c r="M156" i="80" s="1"/>
  <c r="M157" i="80" s="1"/>
  <c r="M158" i="80" s="1"/>
  <c r="M159" i="80" s="1"/>
  <c r="M160" i="80" s="1"/>
  <c r="M163" i="80" s="1"/>
  <c r="M164" i="80" s="1"/>
  <c r="D27" i="2" s="1"/>
  <c r="A43" i="85" l="1"/>
  <c r="N42" i="85"/>
  <c r="F29" i="75"/>
  <c r="A58" i="103"/>
  <c r="BH57" i="103"/>
  <c r="H28" i="1"/>
  <c r="A30" i="1"/>
  <c r="F30" i="1"/>
  <c r="H61" i="75"/>
  <c r="H23" i="75"/>
  <c r="I60" i="75"/>
  <c r="I23" i="75" s="1"/>
  <c r="A29" i="90"/>
  <c r="F28" i="90"/>
  <c r="H98" i="75"/>
  <c r="I97" i="75"/>
  <c r="A43" i="105"/>
  <c r="N41" i="105"/>
  <c r="F103" i="75"/>
  <c r="E104" i="75"/>
  <c r="J31" i="75"/>
  <c r="A32" i="75"/>
  <c r="A55" i="92"/>
  <c r="I53" i="92"/>
  <c r="G55" i="92"/>
  <c r="A151" i="80"/>
  <c r="N150" i="80"/>
  <c r="A30" i="68"/>
  <c r="G30" i="68" s="1"/>
  <c r="G29" i="68"/>
  <c r="A26" i="84"/>
  <c r="Q25" i="84"/>
  <c r="A60" i="5"/>
  <c r="L59" i="5"/>
  <c r="A65" i="85"/>
  <c r="N65" i="85" s="1"/>
  <c r="N64" i="85"/>
  <c r="A45" i="106"/>
  <c r="N42" i="106"/>
  <c r="A21" i="85"/>
  <c r="N20" i="85"/>
  <c r="F46" i="85"/>
  <c r="K44" i="85"/>
  <c r="A106" i="75"/>
  <c r="J105" i="75"/>
  <c r="A45" i="78"/>
  <c r="Q44" i="78"/>
  <c r="A68" i="75"/>
  <c r="J67" i="75"/>
  <c r="A120" i="1"/>
  <c r="H120" i="1" s="1"/>
  <c r="H119" i="1"/>
  <c r="A57" i="104"/>
  <c r="BJ56" i="104"/>
  <c r="A57" i="79"/>
  <c r="J56" i="79"/>
  <c r="E25" i="47"/>
  <c r="K25" i="47" s="1"/>
  <c r="K23" i="47"/>
  <c r="A106" i="47"/>
  <c r="H103" i="47"/>
  <c r="F107" i="47"/>
  <c r="H144" i="1"/>
  <c r="F148" i="1"/>
  <c r="E30" i="75"/>
  <c r="F67" i="75"/>
  <c r="F30" i="75" s="1"/>
  <c r="E68" i="75"/>
  <c r="A63" i="1"/>
  <c r="H60" i="1"/>
  <c r="F69" i="1"/>
  <c r="A61" i="86"/>
  <c r="K60" i="86"/>
  <c r="A69" i="83"/>
  <c r="K69" i="83" s="1"/>
  <c r="K68" i="83"/>
  <c r="A56" i="92" l="1"/>
  <c r="I55" i="92"/>
  <c r="A31" i="90"/>
  <c r="F29" i="90"/>
  <c r="F24" i="82"/>
  <c r="D56" i="90"/>
  <c r="A69" i="75"/>
  <c r="J68" i="75"/>
  <c r="A61" i="5"/>
  <c r="L60" i="5"/>
  <c r="H24" i="75"/>
  <c r="H62" i="75"/>
  <c r="I61" i="75"/>
  <c r="I24" i="75" s="1"/>
  <c r="E105" i="75"/>
  <c r="F104" i="75"/>
  <c r="A33" i="75"/>
  <c r="J32" i="75"/>
  <c r="A107" i="47"/>
  <c r="H106" i="47"/>
  <c r="H30" i="1"/>
  <c r="F115" i="1"/>
  <c r="A107" i="75"/>
  <c r="J106" i="75"/>
  <c r="A59" i="79"/>
  <c r="J57" i="79"/>
  <c r="K46" i="85"/>
  <c r="E126" i="1"/>
  <c r="A45" i="105"/>
  <c r="N43" i="105"/>
  <c r="A59" i="103"/>
  <c r="BH58" i="103"/>
  <c r="A46" i="78"/>
  <c r="Q45" i="78"/>
  <c r="E69" i="75"/>
  <c r="E31" i="75"/>
  <c r="F68" i="75"/>
  <c r="A22" i="85"/>
  <c r="N21" i="85"/>
  <c r="A152" i="80"/>
  <c r="N151" i="80"/>
  <c r="A62" i="86"/>
  <c r="K61" i="86"/>
  <c r="A64" i="1"/>
  <c r="H63" i="1"/>
  <c r="A58" i="104"/>
  <c r="BJ57" i="104"/>
  <c r="A27" i="84"/>
  <c r="Q26" i="84"/>
  <c r="H99" i="75"/>
  <c r="I98" i="75"/>
  <c r="A47" i="106"/>
  <c r="N45" i="106"/>
  <c r="A44" i="85"/>
  <c r="N43" i="85"/>
  <c r="A47" i="78" l="1"/>
  <c r="Q46" i="78"/>
  <c r="L61" i="5"/>
  <c r="A62" i="5"/>
  <c r="A60" i="103"/>
  <c r="BH59" i="103"/>
  <c r="A108" i="47"/>
  <c r="F110" i="47" s="1"/>
  <c r="H107" i="47"/>
  <c r="J69" i="75"/>
  <c r="A70" i="75"/>
  <c r="F69" i="75"/>
  <c r="E32" i="75"/>
  <c r="E70" i="75"/>
  <c r="A49" i="106"/>
  <c r="N47" i="106"/>
  <c r="A34" i="75"/>
  <c r="J33" i="75"/>
  <c r="E81" i="47"/>
  <c r="E15" i="1"/>
  <c r="E16" i="1" s="1"/>
  <c r="E30" i="1" s="1"/>
  <c r="A47" i="105"/>
  <c r="N45" i="105"/>
  <c r="A28" i="84"/>
  <c r="Q27" i="84"/>
  <c r="A23" i="85"/>
  <c r="N23" i="85" s="1"/>
  <c r="N22" i="85"/>
  <c r="D33" i="90"/>
  <c r="A32" i="90"/>
  <c r="F31" i="90"/>
  <c r="A45" i="85"/>
  <c r="N44" i="85"/>
  <c r="K62" i="86"/>
  <c r="A63" i="86"/>
  <c r="K63" i="86" s="1"/>
  <c r="A108" i="75"/>
  <c r="J107" i="75"/>
  <c r="F41" i="47"/>
  <c r="H64" i="1"/>
  <c r="F68" i="1"/>
  <c r="A65" i="1"/>
  <c r="H100" i="75"/>
  <c r="I99" i="75"/>
  <c r="A57" i="92"/>
  <c r="I56" i="92"/>
  <c r="A153" i="80"/>
  <c r="N152" i="80"/>
  <c r="F31" i="75"/>
  <c r="F105" i="75"/>
  <c r="E106" i="75"/>
  <c r="A59" i="104"/>
  <c r="BJ58" i="104"/>
  <c r="A60" i="79"/>
  <c r="J60" i="79" s="1"/>
  <c r="J59" i="79"/>
  <c r="C60" i="79"/>
  <c r="H25" i="75"/>
  <c r="H63" i="75"/>
  <c r="I62" i="75"/>
  <c r="I25" i="75" s="1"/>
  <c r="A49" i="105" l="1"/>
  <c r="N49" i="105" s="1"/>
  <c r="N47" i="105"/>
  <c r="A71" i="75"/>
  <c r="J70" i="75"/>
  <c r="E115" i="1"/>
  <c r="E110" i="1" s="1"/>
  <c r="E133" i="1" s="1"/>
  <c r="E71" i="1"/>
  <c r="E73" i="1" s="1"/>
  <c r="E131" i="1" s="1"/>
  <c r="I57" i="92"/>
  <c r="A59" i="92"/>
  <c r="I59" i="92" s="1"/>
  <c r="G59" i="92"/>
  <c r="A46" i="85"/>
  <c r="N46" i="85" s="1"/>
  <c r="N45" i="85"/>
  <c r="K81" i="47"/>
  <c r="M81" i="47" s="1"/>
  <c r="E15" i="47"/>
  <c r="A110" i="47"/>
  <c r="H108" i="47"/>
  <c r="H101" i="75"/>
  <c r="I100" i="75"/>
  <c r="A33" i="90"/>
  <c r="F32" i="90"/>
  <c r="A35" i="75"/>
  <c r="J34" i="75"/>
  <c r="A61" i="103"/>
  <c r="BH60" i="103"/>
  <c r="A109" i="75"/>
  <c r="J108" i="75"/>
  <c r="A66" i="1"/>
  <c r="H65" i="1"/>
  <c r="F66" i="1"/>
  <c r="A60" i="104"/>
  <c r="BJ59" i="104"/>
  <c r="A63" i="5"/>
  <c r="L62" i="5"/>
  <c r="E71" i="75"/>
  <c r="F70" i="75"/>
  <c r="F33" i="75" s="1"/>
  <c r="E33" i="75"/>
  <c r="A51" i="106"/>
  <c r="N49" i="106"/>
  <c r="H64" i="75"/>
  <c r="H26" i="75"/>
  <c r="I63" i="75"/>
  <c r="A154" i="80"/>
  <c r="N153" i="80"/>
  <c r="F106" i="75"/>
  <c r="E107" i="75"/>
  <c r="A29" i="84"/>
  <c r="Q28" i="84"/>
  <c r="F32" i="75"/>
  <c r="A48" i="78"/>
  <c r="Q47" i="78"/>
  <c r="E137" i="1" l="1"/>
  <c r="E142" i="1" s="1"/>
  <c r="E144" i="1" s="1"/>
  <c r="A62" i="103"/>
  <c r="BH61" i="103"/>
  <c r="A36" i="75"/>
  <c r="J35" i="75"/>
  <c r="I26" i="75"/>
  <c r="A35" i="90"/>
  <c r="F33" i="90"/>
  <c r="D57" i="90"/>
  <c r="A64" i="5"/>
  <c r="L63" i="5"/>
  <c r="H65" i="75"/>
  <c r="H27" i="75"/>
  <c r="I64" i="75"/>
  <c r="I27" i="75" s="1"/>
  <c r="H102" i="75"/>
  <c r="I101" i="75"/>
  <c r="F71" i="1"/>
  <c r="H66" i="1"/>
  <c r="A68" i="1"/>
  <c r="N51" i="106"/>
  <c r="A54" i="106"/>
  <c r="A72" i="75"/>
  <c r="J71" i="75"/>
  <c r="F71" i="75"/>
  <c r="E72" i="75"/>
  <c r="E34" i="75"/>
  <c r="A155" i="80"/>
  <c r="N154" i="80"/>
  <c r="BJ60" i="104"/>
  <c r="A61" i="104"/>
  <c r="A49" i="78"/>
  <c r="Q48" i="78"/>
  <c r="C36" i="5"/>
  <c r="H110" i="47"/>
  <c r="A30" i="84"/>
  <c r="Q29" i="84"/>
  <c r="E108" i="75"/>
  <c r="F107" i="75"/>
  <c r="A110" i="75"/>
  <c r="J109" i="75"/>
  <c r="K15" i="47"/>
  <c r="M15" i="47" s="1"/>
  <c r="M30" i="47" s="1"/>
  <c r="E16" i="47"/>
  <c r="D14" i="2" l="1"/>
  <c r="D17" i="2" s="1"/>
  <c r="D18" i="2" s="1"/>
  <c r="D23" i="2" s="1"/>
  <c r="A73" i="75"/>
  <c r="J72" i="75"/>
  <c r="A65" i="5"/>
  <c r="L64" i="5"/>
  <c r="E148" i="1"/>
  <c r="A111" i="75"/>
  <c r="J110" i="75"/>
  <c r="K16" i="47"/>
  <c r="E30" i="47"/>
  <c r="K144" i="47" s="1"/>
  <c r="A50" i="78"/>
  <c r="Q49" i="78"/>
  <c r="F108" i="75"/>
  <c r="E109" i="75"/>
  <c r="A56" i="106"/>
  <c r="N56" i="106" s="1"/>
  <c r="N54" i="106"/>
  <c r="D37" i="90"/>
  <c r="A36" i="90"/>
  <c r="F35" i="90"/>
  <c r="A62" i="104"/>
  <c r="BJ61" i="104"/>
  <c r="F116" i="1"/>
  <c r="H68" i="1"/>
  <c r="A69" i="1"/>
  <c r="H103" i="75"/>
  <c r="I102" i="75"/>
  <c r="H28" i="75"/>
  <c r="H66" i="75"/>
  <c r="I65" i="75"/>
  <c r="N155" i="80"/>
  <c r="A156" i="80"/>
  <c r="E73" i="75"/>
  <c r="E35" i="75"/>
  <c r="F72" i="75"/>
  <c r="F35" i="75" s="1"/>
  <c r="A37" i="75"/>
  <c r="J36" i="75"/>
  <c r="A31" i="84"/>
  <c r="Q30" i="84"/>
  <c r="F34" i="75"/>
  <c r="A63" i="103"/>
  <c r="BH62" i="103"/>
  <c r="A51" i="78" l="1"/>
  <c r="Q50" i="78"/>
  <c r="K30" i="47"/>
  <c r="O48" i="47" s="1"/>
  <c r="O50" i="47" s="1"/>
  <c r="O85" i="47" s="1"/>
  <c r="E66" i="47"/>
  <c r="E48" i="47"/>
  <c r="A37" i="90"/>
  <c r="F36" i="90"/>
  <c r="A112" i="75"/>
  <c r="J112" i="75" s="1"/>
  <c r="J111" i="75"/>
  <c r="BH63" i="103"/>
  <c r="A64" i="103"/>
  <c r="I28" i="75"/>
  <c r="H67" i="75"/>
  <c r="H29" i="75"/>
  <c r="I66" i="75"/>
  <c r="I29" i="75" s="1"/>
  <c r="F109" i="75"/>
  <c r="E110" i="75"/>
  <c r="E36" i="75"/>
  <c r="E74" i="75"/>
  <c r="F73" i="75"/>
  <c r="N156" i="80"/>
  <c r="A157" i="80"/>
  <c r="A63" i="104"/>
  <c r="BJ62" i="104"/>
  <c r="A32" i="84"/>
  <c r="Q31" i="84"/>
  <c r="J37" i="75"/>
  <c r="A38" i="75"/>
  <c r="H104" i="75"/>
  <c r="I103" i="75"/>
  <c r="A66" i="5"/>
  <c r="L65" i="5"/>
  <c r="F46" i="47"/>
  <c r="H69" i="1"/>
  <c r="A71" i="1"/>
  <c r="F72" i="1"/>
  <c r="A74" i="75"/>
  <c r="J73" i="75"/>
  <c r="F74" i="75" l="1"/>
  <c r="E37" i="75"/>
  <c r="E75" i="75"/>
  <c r="H105" i="75"/>
  <c r="I104" i="75"/>
  <c r="A39" i="75"/>
  <c r="J39" i="75" s="1"/>
  <c r="J38" i="75"/>
  <c r="E111" i="75"/>
  <c r="F110" i="75"/>
  <c r="A40" i="90"/>
  <c r="F37" i="90"/>
  <c r="A33" i="84"/>
  <c r="Q32" i="84"/>
  <c r="E50" i="47"/>
  <c r="K48" i="47"/>
  <c r="E61" i="47"/>
  <c r="K66" i="47"/>
  <c r="A75" i="75"/>
  <c r="J74" i="75"/>
  <c r="F73" i="1"/>
  <c r="H71" i="1"/>
  <c r="A72" i="1"/>
  <c r="H30" i="75"/>
  <c r="H68" i="75"/>
  <c r="I67" i="75"/>
  <c r="I30" i="75" s="1"/>
  <c r="A64" i="104"/>
  <c r="BJ63" i="104"/>
  <c r="A52" i="78"/>
  <c r="Q51" i="78"/>
  <c r="N157" i="80"/>
  <c r="A158" i="80"/>
  <c r="F36" i="75"/>
  <c r="A65" i="103"/>
  <c r="BH64" i="103"/>
  <c r="L66" i="5"/>
  <c r="A67" i="5"/>
  <c r="F40" i="90" l="1"/>
  <c r="A41" i="90"/>
  <c r="C48" i="90"/>
  <c r="C50" i="90" s="1"/>
  <c r="F111" i="75"/>
  <c r="E112" i="75"/>
  <c r="K61" i="47"/>
  <c r="E87" i="47"/>
  <c r="K87" i="47" s="1"/>
  <c r="A53" i="78"/>
  <c r="Q52" i="78"/>
  <c r="N48" i="47"/>
  <c r="N50" i="47" s="1"/>
  <c r="N85" i="47" s="1"/>
  <c r="M48" i="47"/>
  <c r="M50" i="47" s="1"/>
  <c r="M85" i="47" s="1"/>
  <c r="L48" i="47"/>
  <c r="L50" i="47" s="1"/>
  <c r="L85" i="47" s="1"/>
  <c r="L91" i="47" s="1"/>
  <c r="H106" i="75"/>
  <c r="I105" i="75"/>
  <c r="N158" i="80"/>
  <c r="A159" i="80"/>
  <c r="A76" i="75"/>
  <c r="J76" i="75" s="1"/>
  <c r="J75" i="75"/>
  <c r="C47" i="90"/>
  <c r="C49" i="90" s="1"/>
  <c r="E38" i="75"/>
  <c r="E39" i="75" s="1"/>
  <c r="F75" i="75"/>
  <c r="F38" i="75" s="1"/>
  <c r="F40" i="75" s="1"/>
  <c r="D26" i="2" s="1"/>
  <c r="E76" i="75"/>
  <c r="H69" i="75"/>
  <c r="H31" i="75"/>
  <c r="I68" i="75"/>
  <c r="A65" i="104"/>
  <c r="BJ64" i="104"/>
  <c r="A68" i="5"/>
  <c r="L67" i="5"/>
  <c r="K50" i="47"/>
  <c r="E85" i="47"/>
  <c r="A66" i="103"/>
  <c r="BH65" i="103"/>
  <c r="Q33" i="84"/>
  <c r="A34" i="84"/>
  <c r="F37" i="75"/>
  <c r="H72" i="1"/>
  <c r="A73" i="1"/>
  <c r="F120" i="1"/>
  <c r="A54" i="78" l="1"/>
  <c r="Q53" i="78"/>
  <c r="A67" i="103"/>
  <c r="BH66" i="103"/>
  <c r="M61" i="47"/>
  <c r="M87" i="47" s="1"/>
  <c r="M91" i="47" s="1"/>
  <c r="N61" i="47"/>
  <c r="N87" i="47" s="1"/>
  <c r="N91" i="47" s="1"/>
  <c r="O61" i="47"/>
  <c r="O87" i="47" s="1"/>
  <c r="O91" i="47" s="1"/>
  <c r="K85" i="47"/>
  <c r="E91" i="47"/>
  <c r="C52" i="90"/>
  <c r="D6" i="92" s="1"/>
  <c r="C51" i="90"/>
  <c r="C53" i="90"/>
  <c r="E6" i="92" s="1"/>
  <c r="N159" i="80"/>
  <c r="A160" i="80"/>
  <c r="H73" i="1"/>
  <c r="F131" i="1"/>
  <c r="D43" i="90"/>
  <c r="A42" i="90"/>
  <c r="F41" i="90"/>
  <c r="B145" i="5"/>
  <c r="B142" i="5"/>
  <c r="L68" i="5"/>
  <c r="A66" i="104"/>
  <c r="BJ65" i="104"/>
  <c r="I31" i="75"/>
  <c r="H107" i="75"/>
  <c r="I106" i="75"/>
  <c r="Q34" i="84"/>
  <c r="A35" i="84"/>
  <c r="H32" i="75"/>
  <c r="H70" i="75"/>
  <c r="I69" i="75"/>
  <c r="I32" i="75" s="1"/>
  <c r="D40" i="92" l="1"/>
  <c r="D47" i="92"/>
  <c r="D37" i="92"/>
  <c r="F37" i="92" s="1"/>
  <c r="D53" i="92"/>
  <c r="F53" i="92" s="1"/>
  <c r="D44" i="92"/>
  <c r="D46" i="92"/>
  <c r="F46" i="92" s="1"/>
  <c r="D36" i="92"/>
  <c r="D43" i="92"/>
  <c r="D38" i="92"/>
  <c r="D28" i="92"/>
  <c r="F28" i="92" s="1"/>
  <c r="D30" i="92"/>
  <c r="D18" i="92"/>
  <c r="D27" i="92"/>
  <c r="D29" i="92"/>
  <c r="F29" i="92" s="1"/>
  <c r="K91" i="47"/>
  <c r="E96" i="47"/>
  <c r="A43" i="90"/>
  <c r="F42" i="90"/>
  <c r="D44" i="90"/>
  <c r="H108" i="75"/>
  <c r="I107" i="75"/>
  <c r="H71" i="75"/>
  <c r="H33" i="75"/>
  <c r="I70" i="75"/>
  <c r="I33" i="75" s="1"/>
  <c r="A68" i="103"/>
  <c r="BH67" i="103"/>
  <c r="N160" i="80"/>
  <c r="A161" i="80"/>
  <c r="A36" i="84"/>
  <c r="Q35" i="84"/>
  <c r="E40" i="92"/>
  <c r="E47" i="92"/>
  <c r="E37" i="92"/>
  <c r="E53" i="92"/>
  <c r="E44" i="92"/>
  <c r="E46" i="92"/>
  <c r="E36" i="92"/>
  <c r="E43" i="92"/>
  <c r="E38" i="92"/>
  <c r="E28" i="92"/>
  <c r="E30" i="92"/>
  <c r="E18" i="92"/>
  <c r="E29" i="92"/>
  <c r="E27" i="92"/>
  <c r="A55" i="78"/>
  <c r="Q54" i="78"/>
  <c r="BJ66" i="104"/>
  <c r="A67" i="104"/>
  <c r="F43" i="92" l="1"/>
  <c r="A44" i="90"/>
  <c r="F43" i="90"/>
  <c r="D19" i="92"/>
  <c r="F19" i="92" s="1"/>
  <c r="F36" i="92"/>
  <c r="A68" i="104"/>
  <c r="BJ67" i="104"/>
  <c r="F44" i="92"/>
  <c r="A56" i="78"/>
  <c r="Q55" i="78"/>
  <c r="A163" i="80"/>
  <c r="N161" i="80"/>
  <c r="F27" i="92"/>
  <c r="E19" i="92"/>
  <c r="K96" i="47"/>
  <c r="E98" i="47"/>
  <c r="H72" i="75"/>
  <c r="H34" i="75"/>
  <c r="I71" i="75"/>
  <c r="I34" i="75" s="1"/>
  <c r="F47" i="92"/>
  <c r="F30" i="92"/>
  <c r="F40" i="92"/>
  <c r="A37" i="84"/>
  <c r="Q37" i="84" s="1"/>
  <c r="Q36" i="84"/>
  <c r="E20" i="92"/>
  <c r="E32" i="92" s="1"/>
  <c r="E42" i="92" s="1"/>
  <c r="E48" i="92" s="1"/>
  <c r="A69" i="103"/>
  <c r="BH68" i="103"/>
  <c r="F18" i="92"/>
  <c r="F20" i="92" s="1"/>
  <c r="F32" i="92" s="1"/>
  <c r="D20" i="92"/>
  <c r="D32" i="92" s="1"/>
  <c r="D42" i="92" s="1"/>
  <c r="H109" i="75"/>
  <c r="I108" i="75"/>
  <c r="F38" i="92"/>
  <c r="F42" i="92" l="1"/>
  <c r="A164" i="80"/>
  <c r="N163" i="80"/>
  <c r="A57" i="78"/>
  <c r="Q56" i="78"/>
  <c r="H110" i="75"/>
  <c r="I109" i="75"/>
  <c r="A69" i="104"/>
  <c r="BJ68" i="104"/>
  <c r="K98" i="47"/>
  <c r="E103" i="47"/>
  <c r="A70" i="103"/>
  <c r="BH69" i="103"/>
  <c r="H73" i="75"/>
  <c r="H35" i="75"/>
  <c r="I72" i="75"/>
  <c r="I35" i="75" s="1"/>
  <c r="O96" i="47"/>
  <c r="O98" i="47" s="1"/>
  <c r="O103" i="47" s="1"/>
  <c r="L96" i="47"/>
  <c r="L98" i="47" s="1"/>
  <c r="L103" i="47" s="1"/>
  <c r="N96" i="47"/>
  <c r="N98" i="47" s="1"/>
  <c r="N103" i="47" s="1"/>
  <c r="M96" i="47"/>
  <c r="M98" i="47" s="1"/>
  <c r="M103" i="47" s="1"/>
  <c r="D48" i="92"/>
  <c r="E50" i="92"/>
  <c r="A47" i="90"/>
  <c r="F44" i="90"/>
  <c r="A48" i="90" l="1"/>
  <c r="F47" i="90"/>
  <c r="D49" i="90"/>
  <c r="E107" i="47"/>
  <c r="K107" i="47" s="1"/>
  <c r="K103" i="47"/>
  <c r="D50" i="92"/>
  <c r="F50" i="92" s="1"/>
  <c r="F48" i="92"/>
  <c r="A71" i="103"/>
  <c r="BH70" i="103"/>
  <c r="A70" i="104"/>
  <c r="BJ69" i="104"/>
  <c r="H111" i="75"/>
  <c r="I111" i="75" s="1"/>
  <c r="I110" i="75"/>
  <c r="A58" i="78"/>
  <c r="Q57" i="78"/>
  <c r="H36" i="75"/>
  <c r="H74" i="75"/>
  <c r="I73" i="75"/>
  <c r="I36" i="75" s="1"/>
  <c r="N164" i="80"/>
  <c r="A168" i="80"/>
  <c r="E27" i="2"/>
  <c r="E110" i="47" l="1"/>
  <c r="BH71" i="103"/>
  <c r="A72" i="103"/>
  <c r="H37" i="75"/>
  <c r="H75" i="75"/>
  <c r="I74" i="75"/>
  <c r="I37" i="75" s="1"/>
  <c r="K110" i="47"/>
  <c r="B36" i="5"/>
  <c r="N107" i="47"/>
  <c r="N110" i="47" s="1"/>
  <c r="M107" i="47"/>
  <c r="M110" i="47" s="1"/>
  <c r="L107" i="47"/>
  <c r="L110" i="47" s="1"/>
  <c r="O107" i="47"/>
  <c r="O110" i="47" s="1"/>
  <c r="A59" i="78"/>
  <c r="Q58" i="78"/>
  <c r="I112" i="75"/>
  <c r="A169" i="80"/>
  <c r="N168" i="80"/>
  <c r="A49" i="90"/>
  <c r="F48" i="90"/>
  <c r="D50" i="90"/>
  <c r="A71" i="104"/>
  <c r="BJ70" i="104"/>
  <c r="A60" i="78" l="1"/>
  <c r="Q59" i="78"/>
  <c r="O111" i="47"/>
  <c r="H38" i="75"/>
  <c r="I75" i="75"/>
  <c r="BH72" i="103"/>
  <c r="A73" i="103"/>
  <c r="A72" i="104"/>
  <c r="BJ71" i="104"/>
  <c r="D51" i="5"/>
  <c r="F51" i="5" s="1"/>
  <c r="D55" i="5"/>
  <c r="F55" i="5" s="1"/>
  <c r="D48" i="5"/>
  <c r="F48" i="5" s="1"/>
  <c r="D56" i="5"/>
  <c r="F56" i="5" s="1"/>
  <c r="D49" i="5"/>
  <c r="F49" i="5" s="1"/>
  <c r="D50" i="5"/>
  <c r="F50" i="5" s="1"/>
  <c r="D52" i="5"/>
  <c r="F52" i="5" s="1"/>
  <c r="D46" i="5"/>
  <c r="F46" i="5" s="1"/>
  <c r="D54" i="5"/>
  <c r="F54" i="5" s="1"/>
  <c r="D47" i="5"/>
  <c r="F47" i="5" s="1"/>
  <c r="D45" i="5"/>
  <c r="F45" i="5" s="1"/>
  <c r="D53" i="5"/>
  <c r="F53" i="5" s="1"/>
  <c r="F49" i="90"/>
  <c r="D51" i="90"/>
  <c r="A50" i="90"/>
  <c r="A170" i="80"/>
  <c r="N169" i="80"/>
  <c r="BJ72" i="104" l="1"/>
  <c r="A73" i="104"/>
  <c r="A74" i="103"/>
  <c r="BH73" i="103"/>
  <c r="I45" i="5"/>
  <c r="J45" i="5" s="1"/>
  <c r="G45" i="5"/>
  <c r="G46" i="5" s="1"/>
  <c r="I38" i="75"/>
  <c r="I39" i="75" s="1"/>
  <c r="D22" i="2" s="1"/>
  <c r="D25" i="2" s="1"/>
  <c r="D28" i="2" s="1"/>
  <c r="D32" i="2" s="1"/>
  <c r="D34" i="2" s="1"/>
  <c r="E149" i="1" s="1"/>
  <c r="I76" i="75"/>
  <c r="A171" i="80"/>
  <c r="N170" i="80"/>
  <c r="A51" i="90"/>
  <c r="F50" i="90"/>
  <c r="D53" i="90"/>
  <c r="A61" i="78"/>
  <c r="Q60" i="78"/>
  <c r="K45" i="5" l="1"/>
  <c r="I46" i="5" s="1"/>
  <c r="J46" i="5" s="1"/>
  <c r="K46" i="5" s="1"/>
  <c r="I47" i="5" s="1"/>
  <c r="J47" i="5" s="1"/>
  <c r="G47" i="5"/>
  <c r="A74" i="104"/>
  <c r="BJ73" i="104"/>
  <c r="A62" i="78"/>
  <c r="Q61" i="78"/>
  <c r="A52" i="90"/>
  <c r="F51" i="90"/>
  <c r="D52" i="90"/>
  <c r="A75" i="103"/>
  <c r="BH74" i="103"/>
  <c r="N171" i="80"/>
  <c r="A172" i="80"/>
  <c r="E151" i="1"/>
  <c r="E52" i="92"/>
  <c r="E55" i="92" s="1"/>
  <c r="D52" i="92"/>
  <c r="A63" i="78" l="1"/>
  <c r="Q62" i="78"/>
  <c r="BH75" i="103"/>
  <c r="A76" i="103"/>
  <c r="E157" i="1"/>
  <c r="E159" i="1"/>
  <c r="F52" i="90"/>
  <c r="A53" i="90"/>
  <c r="F52" i="92"/>
  <c r="D55" i="92"/>
  <c r="F55" i="92" s="1"/>
  <c r="A173" i="80"/>
  <c r="N172" i="80"/>
  <c r="A75" i="104"/>
  <c r="BJ74" i="104"/>
  <c r="K47" i="5"/>
  <c r="I48" i="5" s="1"/>
  <c r="J48" i="5" s="1"/>
  <c r="G48" i="5"/>
  <c r="A174" i="80" l="1"/>
  <c r="N173" i="80"/>
  <c r="K48" i="5"/>
  <c r="I49" i="5" s="1"/>
  <c r="J49" i="5" s="1"/>
  <c r="G49" i="5"/>
  <c r="A56" i="90"/>
  <c r="F53" i="90"/>
  <c r="E160" i="1"/>
  <c r="A77" i="103"/>
  <c r="BH76" i="103"/>
  <c r="BJ75" i="104"/>
  <c r="A76" i="104"/>
  <c r="A64" i="78"/>
  <c r="Q63" i="78"/>
  <c r="A77" i="104" l="1"/>
  <c r="BJ76" i="104"/>
  <c r="M56" i="106"/>
  <c r="A65" i="78"/>
  <c r="Q64" i="78"/>
  <c r="K49" i="5"/>
  <c r="I50" i="5" s="1"/>
  <c r="J50" i="5" s="1"/>
  <c r="G50" i="5"/>
  <c r="A78" i="103"/>
  <c r="BH77" i="103"/>
  <c r="A57" i="90"/>
  <c r="F56" i="90"/>
  <c r="F40" i="82"/>
  <c r="A175" i="80"/>
  <c r="N174" i="80"/>
  <c r="F57" i="90" l="1"/>
  <c r="A60" i="90"/>
  <c r="K50" i="5"/>
  <c r="I51" i="5" s="1"/>
  <c r="J51" i="5" s="1"/>
  <c r="G51" i="5"/>
  <c r="A79" i="103"/>
  <c r="BH78" i="103"/>
  <c r="A66" i="78"/>
  <c r="Q65" i="78"/>
  <c r="M51" i="106"/>
  <c r="F47" i="105" s="1"/>
  <c r="M42" i="106"/>
  <c r="M24" i="106"/>
  <c r="F23" i="105" s="1"/>
  <c r="J23" i="105" s="1"/>
  <c r="M40" i="106"/>
  <c r="F39" i="105" s="1"/>
  <c r="J39" i="105" s="1"/>
  <c r="M12" i="106"/>
  <c r="F11" i="105" s="1"/>
  <c r="M32" i="106"/>
  <c r="F31" i="105" s="1"/>
  <c r="J31" i="105" s="1"/>
  <c r="M26" i="106"/>
  <c r="F25" i="105" s="1"/>
  <c r="M14" i="106"/>
  <c r="F13" i="105" s="1"/>
  <c r="N175" i="80"/>
  <c r="A176" i="80"/>
  <c r="A78" i="104"/>
  <c r="BJ77" i="104"/>
  <c r="A79" i="104" l="1"/>
  <c r="BJ78" i="104"/>
  <c r="J44" i="105"/>
  <c r="J46" i="105"/>
  <c r="E57" i="92"/>
  <c r="E59" i="92" s="1"/>
  <c r="C10" i="93" s="1"/>
  <c r="C12" i="93" s="1"/>
  <c r="D57" i="92"/>
  <c r="M33" i="105"/>
  <c r="M37" i="105"/>
  <c r="M35" i="105"/>
  <c r="M13" i="105"/>
  <c r="J13" i="105"/>
  <c r="M19" i="105"/>
  <c r="M17" i="105"/>
  <c r="M21" i="105"/>
  <c r="M15" i="105"/>
  <c r="M54" i="106"/>
  <c r="Q66" i="78"/>
  <c r="A67" i="78"/>
  <c r="A177" i="80"/>
  <c r="N176" i="80"/>
  <c r="A80" i="103"/>
  <c r="BH79" i="103"/>
  <c r="K51" i="5"/>
  <c r="I52" i="5" s="1"/>
  <c r="J52" i="5" s="1"/>
  <c r="G52" i="5"/>
  <c r="M25" i="105"/>
  <c r="J25" i="105"/>
  <c r="M29" i="105"/>
  <c r="M27" i="105"/>
  <c r="A61" i="90"/>
  <c r="F60" i="90"/>
  <c r="M11" i="105"/>
  <c r="F49" i="105"/>
  <c r="M49" i="105" s="1"/>
  <c r="J11" i="105"/>
  <c r="K52" i="5" l="1"/>
  <c r="I53" i="5" s="1"/>
  <c r="J53" i="5" s="1"/>
  <c r="G53" i="5"/>
  <c r="F57" i="92"/>
  <c r="F59" i="92" s="1"/>
  <c r="D59" i="92"/>
  <c r="C5" i="93" s="1"/>
  <c r="C7" i="93" s="1"/>
  <c r="A81" i="103"/>
  <c r="BH80" i="103"/>
  <c r="A178" i="80"/>
  <c r="N177" i="80"/>
  <c r="A68" i="78"/>
  <c r="Q67" i="78"/>
  <c r="A62" i="90"/>
  <c r="F61" i="90"/>
  <c r="M45" i="105"/>
  <c r="M47" i="105"/>
  <c r="M43" i="105"/>
  <c r="M41" i="105"/>
  <c r="A80" i="104"/>
  <c r="BJ79" i="104"/>
  <c r="A69" i="78" l="1"/>
  <c r="Q68" i="78"/>
  <c r="A81" i="104"/>
  <c r="BJ80" i="104"/>
  <c r="A63" i="90"/>
  <c r="F62" i="90"/>
  <c r="A179" i="80"/>
  <c r="N178" i="80"/>
  <c r="K53" i="5"/>
  <c r="I54" i="5" s="1"/>
  <c r="J54" i="5" s="1"/>
  <c r="G54" i="5"/>
  <c r="A82" i="103"/>
  <c r="BH81" i="103"/>
  <c r="A83" i="103" l="1"/>
  <c r="BH82" i="103"/>
  <c r="K54" i="5"/>
  <c r="I55" i="5" s="1"/>
  <c r="J55" i="5" s="1"/>
  <c r="G55" i="5"/>
  <c r="N179" i="80"/>
  <c r="A180" i="80"/>
  <c r="A64" i="90"/>
  <c r="F64" i="90" s="1"/>
  <c r="F63" i="90"/>
  <c r="A82" i="104"/>
  <c r="BJ81" i="104"/>
  <c r="A70" i="78"/>
  <c r="Q69" i="78"/>
  <c r="A71" i="78" l="1"/>
  <c r="Q70" i="78"/>
  <c r="A83" i="104"/>
  <c r="BJ82" i="104"/>
  <c r="N180" i="80"/>
  <c r="A181" i="80"/>
  <c r="K55" i="5"/>
  <c r="I56" i="5" s="1"/>
  <c r="J56" i="5" s="1"/>
  <c r="O56" i="5" s="1"/>
  <c r="O59" i="5" s="1"/>
  <c r="O60" i="5" s="1"/>
  <c r="G56" i="5"/>
  <c r="A84" i="103"/>
  <c r="BH83" i="103"/>
  <c r="A85" i="103" l="1"/>
  <c r="BH84" i="103"/>
  <c r="G57" i="5"/>
  <c r="N56" i="5"/>
  <c r="N59" i="5" s="1"/>
  <c r="N60" i="5" s="1"/>
  <c r="K56" i="5"/>
  <c r="I57" i="5" s="1"/>
  <c r="J57" i="5" s="1"/>
  <c r="N181" i="80"/>
  <c r="A182" i="80"/>
  <c r="BJ83" i="104"/>
  <c r="A84" i="104"/>
  <c r="A72" i="78"/>
  <c r="Q71" i="78"/>
  <c r="A73" i="78" l="1"/>
  <c r="Q72" i="78"/>
  <c r="A85" i="104"/>
  <c r="BJ84" i="104"/>
  <c r="N182" i="80"/>
  <c r="A183" i="80"/>
  <c r="N183" i="80" s="1"/>
  <c r="K57" i="5"/>
  <c r="I58" i="5" s="1"/>
  <c r="J58" i="5" s="1"/>
  <c r="G58" i="5"/>
  <c r="A86" i="103"/>
  <c r="BH85" i="103"/>
  <c r="G59" i="5" l="1"/>
  <c r="K58" i="5"/>
  <c r="I59" i="5" s="1"/>
  <c r="J59" i="5" s="1"/>
  <c r="A87" i="103"/>
  <c r="BH86" i="103"/>
  <c r="A86" i="104"/>
  <c r="BJ85" i="104"/>
  <c r="A74" i="78"/>
  <c r="Q73" i="78"/>
  <c r="A75" i="78" l="1"/>
  <c r="A76" i="78" s="1"/>
  <c r="Q74" i="78"/>
  <c r="BJ86" i="104"/>
  <c r="A87" i="104"/>
  <c r="BH87" i="103"/>
  <c r="A88" i="103"/>
  <c r="G60" i="5"/>
  <c r="K59" i="5"/>
  <c r="I60" i="5" s="1"/>
  <c r="J60" i="5" s="1"/>
  <c r="G61" i="5" l="1"/>
  <c r="K60" i="5"/>
  <c r="I61" i="5" s="1"/>
  <c r="J61" i="5" s="1"/>
  <c r="A89" i="103"/>
  <c r="BH88" i="103"/>
  <c r="A88" i="104"/>
  <c r="BJ87" i="104"/>
  <c r="A89" i="104" l="1"/>
  <c r="BJ88" i="104"/>
  <c r="BH89" i="103"/>
  <c r="A90" i="103"/>
  <c r="K61" i="5"/>
  <c r="I62" i="5" s="1"/>
  <c r="J62" i="5" s="1"/>
  <c r="G62" i="5"/>
  <c r="G63" i="5" l="1"/>
  <c r="K62" i="5"/>
  <c r="I63" i="5" s="1"/>
  <c r="J63" i="5" s="1"/>
  <c r="A91" i="103"/>
  <c r="BH90" i="103"/>
  <c r="A90" i="104"/>
  <c r="BJ89" i="104"/>
  <c r="A91" i="104" l="1"/>
  <c r="BJ90" i="104"/>
  <c r="A92" i="103"/>
  <c r="BH91" i="103"/>
  <c r="K63" i="5"/>
  <c r="I64" i="5" s="1"/>
  <c r="J64" i="5" s="1"/>
  <c r="G64" i="5"/>
  <c r="K64" i="5" l="1"/>
  <c r="I65" i="5" s="1"/>
  <c r="J65" i="5" s="1"/>
  <c r="G65" i="5"/>
  <c r="A93" i="103"/>
  <c r="BH92" i="103"/>
  <c r="A92" i="104"/>
  <c r="BJ91" i="104"/>
  <c r="A93" i="104" l="1"/>
  <c r="BJ92" i="104"/>
  <c r="A94" i="103"/>
  <c r="BH93" i="103"/>
  <c r="G66" i="5"/>
  <c r="K65" i="5"/>
  <c r="I66" i="5" s="1"/>
  <c r="J66" i="5" s="1"/>
  <c r="K66" i="5" l="1"/>
  <c r="I67" i="5" s="1"/>
  <c r="J67" i="5" s="1"/>
  <c r="G67" i="5"/>
  <c r="A95" i="103"/>
  <c r="BH94" i="103"/>
  <c r="A94" i="104"/>
  <c r="BJ93" i="104"/>
  <c r="A95" i="104" l="1"/>
  <c r="BJ94" i="104"/>
  <c r="A96" i="103"/>
  <c r="BH95" i="103"/>
  <c r="K67" i="5"/>
  <c r="I68" i="5" s="1"/>
  <c r="J68" i="5" s="1"/>
  <c r="G68" i="5"/>
  <c r="K68" i="5" l="1"/>
  <c r="D79" i="5" s="1"/>
  <c r="F79" i="5" s="1"/>
  <c r="A97" i="103"/>
  <c r="BH96" i="103"/>
  <c r="BJ95" i="104"/>
  <c r="A96" i="104"/>
  <c r="G79" i="5" l="1"/>
  <c r="I79" i="5" s="1"/>
  <c r="D80" i="5" s="1"/>
  <c r="F80" i="5" s="1"/>
  <c r="G80" i="5" s="1"/>
  <c r="I80" i="5" s="1"/>
  <c r="D81" i="5" s="1"/>
  <c r="BJ96" i="104"/>
  <c r="A97" i="104"/>
  <c r="A98" i="103"/>
  <c r="BH97" i="103"/>
  <c r="F81" i="5" l="1"/>
  <c r="G81" i="5" s="1"/>
  <c r="I81" i="5" s="1"/>
  <c r="D82" i="5" s="1"/>
  <c r="A99" i="103"/>
  <c r="BH99" i="103" s="1"/>
  <c r="BH98" i="103"/>
  <c r="A98" i="104"/>
  <c r="BJ97" i="104"/>
  <c r="F82" i="5" l="1"/>
  <c r="G82" i="5" s="1"/>
  <c r="I82" i="5" s="1"/>
  <c r="D83" i="5" s="1"/>
  <c r="A99" i="104"/>
  <c r="BJ99" i="104" s="1"/>
  <c r="BJ98" i="104"/>
  <c r="F83" i="5" l="1"/>
  <c r="G83" i="5" s="1"/>
  <c r="I83" i="5" s="1"/>
  <c r="D84" i="5" s="1"/>
  <c r="F84" i="5" l="1"/>
  <c r="G84" i="5"/>
  <c r="I84" i="5" s="1"/>
  <c r="D85" i="5" s="1"/>
  <c r="F85" i="5" l="1"/>
  <c r="G85" i="5" s="1"/>
  <c r="I85" i="5" s="1"/>
  <c r="D86" i="5" s="1"/>
  <c r="F86" i="5" l="1"/>
  <c r="G86" i="5" s="1"/>
  <c r="I86" i="5" s="1"/>
  <c r="D87" i="5" s="1"/>
  <c r="F87" i="5" l="1"/>
  <c r="G87" i="5" s="1"/>
  <c r="I87" i="5" s="1"/>
  <c r="D88" i="5" s="1"/>
  <c r="F88" i="5" l="1"/>
  <c r="G88" i="5" s="1"/>
  <c r="I88" i="5" s="1"/>
  <c r="D89" i="5" s="1"/>
  <c r="F89" i="5" l="1"/>
  <c r="G89" i="5" s="1"/>
  <c r="I89" i="5" s="1"/>
  <c r="D90" i="5" s="1"/>
  <c r="F90" i="5" l="1"/>
  <c r="G90" i="5" s="1"/>
  <c r="I90" i="5" s="1"/>
</calcChain>
</file>

<file path=xl/sharedStrings.xml><?xml version="1.0" encoding="utf-8"?>
<sst xmlns="http://schemas.openxmlformats.org/spreadsheetml/2006/main" count="6157" uniqueCount="2141">
  <si>
    <t>Pacific Gas and Electric Company</t>
  </si>
  <si>
    <t>Transmission Owner Tariff</t>
  </si>
  <si>
    <t>Appendix VIII: Formula Rate</t>
  </si>
  <si>
    <t>Attachment 2: Model</t>
  </si>
  <si>
    <t>Table of Contents</t>
  </si>
  <si>
    <t>Schedule</t>
  </si>
  <si>
    <t>Description</t>
  </si>
  <si>
    <t>1-BaseTRR</t>
  </si>
  <si>
    <t>Base Transmission Revenue Requirements</t>
  </si>
  <si>
    <t>2-ITRR</t>
  </si>
  <si>
    <t>Incremental Transmission Revenue Requirement</t>
  </si>
  <si>
    <t>3-True-upTRR</t>
  </si>
  <si>
    <t>True-up Transmission Revenue Requirement</t>
  </si>
  <si>
    <t>4-ATA</t>
  </si>
  <si>
    <t>Annual True-up Adjustment</t>
  </si>
  <si>
    <t>5-CostofCap-1</t>
  </si>
  <si>
    <t>Calculation of Components of Cost of Capital Rate</t>
  </si>
  <si>
    <t>5-CostofCap-2</t>
  </si>
  <si>
    <t>Calculation of 13-Month Average Capitalization Balances</t>
  </si>
  <si>
    <t>5-CostofCap-3</t>
  </si>
  <si>
    <t>Long Term Debt Cost Percentage</t>
  </si>
  <si>
    <t>5-CostofCap-4</t>
  </si>
  <si>
    <t>Preferred Stock Cost Percentage</t>
  </si>
  <si>
    <t>6-PlantJurisdiction</t>
  </si>
  <si>
    <t>Transmission Plant Jurisdictional</t>
  </si>
  <si>
    <t>7-PlantInService</t>
  </si>
  <si>
    <t>Network Transmission Plant In Service</t>
  </si>
  <si>
    <t>8-AbandonedPlant</t>
  </si>
  <si>
    <t xml:space="preserve">Abandoned Plant Balance and Amortization </t>
  </si>
  <si>
    <t>9-PlantAdditions</t>
  </si>
  <si>
    <t>Forecast Net Plant Additions for Network Transmission Plant</t>
  </si>
  <si>
    <t>10-AccDep</t>
  </si>
  <si>
    <t>Accumulated Depreciation for Network Transmission Assets</t>
  </si>
  <si>
    <t>11-Depreciation</t>
  </si>
  <si>
    <t>Network Transmission Depreciation Expense</t>
  </si>
  <si>
    <t>12-DepRates</t>
  </si>
  <si>
    <t>Depreciation Rates</t>
  </si>
  <si>
    <t>13-WorkCap</t>
  </si>
  <si>
    <t>Calculation of Components of Working Capital</t>
  </si>
  <si>
    <t>14-ADIT</t>
  </si>
  <si>
    <t xml:space="preserve">Accumulated Deferred Income Taxes </t>
  </si>
  <si>
    <t>15-NUC</t>
  </si>
  <si>
    <t>Network Upgrade Credit and Interest Expense</t>
  </si>
  <si>
    <t>16-Unfunded Reserves</t>
  </si>
  <si>
    <t>Unfunded Reserves</t>
  </si>
  <si>
    <t>17-RegAssets-1</t>
  </si>
  <si>
    <t>Regulatory Assets and Liabilities and Associated Amortization and Regulatory Debits and Credits</t>
  </si>
  <si>
    <t>17-RegAssets-2</t>
  </si>
  <si>
    <t>Amortization of (Excess)/Deficient Deferred Federal and State Income Taxes</t>
  </si>
  <si>
    <t>17-RegAssets-3</t>
  </si>
  <si>
    <t>18-OandM</t>
  </si>
  <si>
    <t>Operations and Maintenance Expense</t>
  </si>
  <si>
    <t>19-AandG</t>
  </si>
  <si>
    <t>Administrative and General Expenses</t>
  </si>
  <si>
    <t>20-RevenueCredits</t>
  </si>
  <si>
    <t>Revenue Credits</t>
  </si>
  <si>
    <t>21-NPandS</t>
  </si>
  <si>
    <t>Revenue Sharing for Non-Tariff New Products &amp; Services</t>
  </si>
  <si>
    <t>22-TaxRates</t>
  </si>
  <si>
    <t>Income Tax Rates</t>
  </si>
  <si>
    <t>23-RetailSGTax</t>
  </si>
  <si>
    <t>Retail "South Georgia" Taxes</t>
  </si>
  <si>
    <t>24-Allocators</t>
  </si>
  <si>
    <t>Calculation of Allocation Factors</t>
  </si>
  <si>
    <t>25-RFandUFactors</t>
  </si>
  <si>
    <t>Revenue Fees and Uncollectible Factors</t>
  </si>
  <si>
    <t>26-WholesaleTRRs</t>
  </si>
  <si>
    <t>High and Low Voltage Wholesale Revenue Requirement</t>
  </si>
  <si>
    <t>27-WholesaleRates</t>
  </si>
  <si>
    <t>Calculation of PG&amp;E Wholesale Rates</t>
  </si>
  <si>
    <t>28-GrossLoad</t>
  </si>
  <si>
    <t>Calculation of Gross Load at the CAISO Interface (Area Out)</t>
  </si>
  <si>
    <t>29-RetailRates-1</t>
  </si>
  <si>
    <t>Proposed Retail Rates</t>
  </si>
  <si>
    <t>29-RetailRates-2</t>
  </si>
  <si>
    <t>Proposed Allocations &amp; Revenues</t>
  </si>
  <si>
    <t>FORMATTING:</t>
  </si>
  <si>
    <t>Shading</t>
  </si>
  <si>
    <t>In the Schedules and Workpapers, those cells shaded in gold are inputs to the Formula Rate Model.</t>
  </si>
  <si>
    <t>Number Format</t>
  </si>
  <si>
    <t>Excel “Currency” number format is used.</t>
  </si>
  <si>
    <t>Reference Order</t>
  </si>
  <si>
    <t>Reference order: page (or tab) number, line number, column number, note number.  A comma separates each reference element.  Notes contained in the FERC Form 1 are not numbered (see example below).</t>
  </si>
  <si>
    <t>Workpaper Naming Conventions</t>
  </si>
  <si>
    <t>Workpaper names are prefaced with “WP_” followed by the schedule name to which it corresponds (e.g.:  WP_18-O&amp;M).  If workpapers in support of a Schedule come from different sources or support distinctly different sections of a Schedule, the workpaper name includes a short description suffix  (e.g.:  WP_25-RFandUFactors_FF, where FF describes Franchise Fees).</t>
  </si>
  <si>
    <t>Workpaper Tabs and Structure</t>
  </si>
  <si>
    <t>Workpaper tabs are numbered and do not have names or otherwise attempt to describe the contents of the workpaper with the exception of the Table of Contents sheet.</t>
  </si>
  <si>
    <t>The first sheet of a workpaper with multiple sheets is a Table of Contents.  The tab for the Table of Contents sheet is named “TOC”.  The TOC sheet lists the tab number and the description of the workpaper contents taken from the workpaper heading.</t>
  </si>
  <si>
    <t>REFERENCES:</t>
  </si>
  <si>
    <t>REFERENCE</t>
  </si>
  <si>
    <t>FORM OF REFERENCE</t>
  </si>
  <si>
    <t>EXAMPLE</t>
  </si>
  <si>
    <t>NOTES</t>
  </si>
  <si>
    <t>Column</t>
  </si>
  <si>
    <t>col (column # or letter)</t>
  </si>
  <si>
    <t>col k or col 6</t>
  </si>
  <si>
    <t>FERC Form No. 1</t>
  </si>
  <si>
    <t>FF1</t>
  </si>
  <si>
    <t>FF1 337.2, L. 20, col k</t>
  </si>
  <si>
    <t>FF1 234, Note(s)</t>
  </si>
  <si>
    <t>Line</t>
  </si>
  <si>
    <t>Line (line #)</t>
  </si>
  <si>
    <t>Line 25</t>
  </si>
  <si>
    <t>Internal reference – source within the same Schedule or Workpaper sheet</t>
  </si>
  <si>
    <t>(internal reference)</t>
  </si>
  <si>
    <t>L. (line #)</t>
  </si>
  <si>
    <t>L. 25</t>
  </si>
  <si>
    <t>External reference – source outside the Schedule or Workpaper sheet</t>
  </si>
  <si>
    <t>(external reference)</t>
  </si>
  <si>
    <t>Note</t>
  </si>
  <si>
    <t>Note(s) (note #, if provided)</t>
  </si>
  <si>
    <t>Note 1</t>
  </si>
  <si>
    <t>14-ADIT, Note 1</t>
  </si>
  <si>
    <t>FF1 450.1, Notes</t>
  </si>
  <si>
    <t>Page</t>
  </si>
  <si>
    <t>(page #)</t>
  </si>
  <si>
    <t>337.2 or 2-24</t>
  </si>
  <si>
    <t>Nothing precedes the page number(s).</t>
  </si>
  <si>
    <t>337.2, L. 10, col k</t>
  </si>
  <si>
    <t>(schedule name)</t>
  </si>
  <si>
    <t>Nothing precedes the schedule name</t>
  </si>
  <si>
    <t>Tabs</t>
  </si>
  <si>
    <t>(tab #)</t>
  </si>
  <si>
    <t>WP_29-RetailRates-2 4</t>
  </si>
  <si>
    <t>Nothing precedes the tab number.</t>
  </si>
  <si>
    <t>WP_28-GrossLoad 2, L. 115, col 6</t>
  </si>
  <si>
    <t>Line for extra data</t>
  </si>
  <si>
    <t>…</t>
  </si>
  <si>
    <t>Some Schedules have a"…" row.  These rows are intended for new data to be added in a future update.</t>
  </si>
  <si>
    <t>Base Transmission Revenue Requirement</t>
  </si>
  <si>
    <t>Rate Year:</t>
  </si>
  <si>
    <t>Input cells are shaded gold</t>
  </si>
  <si>
    <t>Prior Year:</t>
  </si>
  <si>
    <t>1) Rate Base</t>
  </si>
  <si>
    <t>Values</t>
  </si>
  <si>
    <t>Source</t>
  </si>
  <si>
    <t>Notes</t>
  </si>
  <si>
    <t>Plant</t>
  </si>
  <si>
    <t>Transmission Plant</t>
  </si>
  <si>
    <t>7-PlantInService, L. 112, col 13</t>
  </si>
  <si>
    <t>End of Year Value</t>
  </si>
  <si>
    <t>Common + General + Intangible Plant</t>
  </si>
  <si>
    <t>7-PlantInService, L. 701, col 1</t>
  </si>
  <si>
    <t>Abandoned Plant</t>
  </si>
  <si>
    <t>8-AbandonedPlant, L. 102, col 11</t>
  </si>
  <si>
    <t>Total Plant</t>
  </si>
  <si>
    <t>Working Capital</t>
  </si>
  <si>
    <t>Materials and Supplies</t>
  </si>
  <si>
    <t>13-WorkCap, L. 112, col 2</t>
  </si>
  <si>
    <t>Prepayments</t>
  </si>
  <si>
    <t>13-WorkCap, L. 217, col 5</t>
  </si>
  <si>
    <t>Cash Working Capital</t>
  </si>
  <si>
    <t>Total Working Capital</t>
  </si>
  <si>
    <t>Accumulated Depreciation Reserve</t>
  </si>
  <si>
    <t>Transmission Depreciation Reserve</t>
  </si>
  <si>
    <t>10-AccDep, L. 112, col 13</t>
  </si>
  <si>
    <t>Negative End of Year Value</t>
  </si>
  <si>
    <t>Common + General + Intangible Depreciation Reserve</t>
  </si>
  <si>
    <t>10-AccDep, L. 701, col 1</t>
  </si>
  <si>
    <t>Total Accumulated Depreciation Reserve</t>
  </si>
  <si>
    <t>a</t>
  </si>
  <si>
    <t>Accumulated Deferred Income Taxes</t>
  </si>
  <si>
    <t>14-ADIT, L. 104, col 2</t>
  </si>
  <si>
    <t>b</t>
  </si>
  <si>
    <r>
      <t>(Excess)</t>
    </r>
    <r>
      <rPr>
        <b/>
        <sz val="9.35"/>
        <rFont val="Calibri"/>
        <family val="2"/>
      </rPr>
      <t>/</t>
    </r>
    <r>
      <rPr>
        <b/>
        <sz val="11"/>
        <rFont val="Calibri"/>
        <family val="2"/>
      </rPr>
      <t>Deficient</t>
    </r>
    <r>
      <rPr>
        <b/>
        <sz val="11"/>
        <rFont val="Calibri"/>
        <family val="2"/>
        <scheme val="minor"/>
      </rPr>
      <t xml:space="preserve"> Accumulated Deferred Income Taxes</t>
    </r>
  </si>
  <si>
    <t>17-RegAssets-1, L. 201</t>
  </si>
  <si>
    <t>c</t>
  </si>
  <si>
    <r>
      <t>Total (Excess)</t>
    </r>
    <r>
      <rPr>
        <b/>
        <sz val="9.35"/>
        <rFont val="Calibri"/>
        <family val="2"/>
      </rPr>
      <t>/</t>
    </r>
    <r>
      <rPr>
        <b/>
        <sz val="11"/>
        <rFont val="Calibri"/>
        <family val="2"/>
      </rPr>
      <t>Deficient</t>
    </r>
    <r>
      <rPr>
        <b/>
        <sz val="9.35"/>
        <rFont val="Calibri"/>
        <family val="2"/>
      </rPr>
      <t xml:space="preserve"> </t>
    </r>
    <r>
      <rPr>
        <b/>
        <sz val="11"/>
        <rFont val="Calibri"/>
        <family val="2"/>
        <scheme val="minor"/>
      </rPr>
      <t>and Accumulated Deferred Income Taxes</t>
    </r>
  </si>
  <si>
    <t>Network Upgrade Credits (Customer Advances)</t>
  </si>
  <si>
    <t>15-NUC, L. 103</t>
  </si>
  <si>
    <t>16-UnfundedReserves, L. 101, col 2</t>
  </si>
  <si>
    <t>Other Regulatory Assets or Liabilities</t>
  </si>
  <si>
    <t>17-RegAssets-1, L. 100</t>
  </si>
  <si>
    <t>Rate Base</t>
  </si>
  <si>
    <t>2) ROE and Capitalization Calculations</t>
  </si>
  <si>
    <t>Debt</t>
  </si>
  <si>
    <t>Long Term Debt Amount</t>
  </si>
  <si>
    <t>5-CostofCap-1, L. 110</t>
  </si>
  <si>
    <t xml:space="preserve">Long Term Debt Cost Percentage </t>
  </si>
  <si>
    <t>5-CostofCap-3, L. 114</t>
  </si>
  <si>
    <t>Cost of Long Term Debt</t>
  </si>
  <si>
    <t>Preferred Stock</t>
  </si>
  <si>
    <t>Preferred Stock Amount</t>
  </si>
  <si>
    <t>5-CostofCap-1, L. 114</t>
  </si>
  <si>
    <t>5-CostofCap-4, L. 106</t>
  </si>
  <si>
    <t>Cost of Preferred Stock</t>
  </si>
  <si>
    <t>Equity</t>
  </si>
  <si>
    <t>Common Stock Equity Amount</t>
  </si>
  <si>
    <t>5-CostofCap-1, L. 120</t>
  </si>
  <si>
    <t>Total Capital</t>
  </si>
  <si>
    <t>Capital Percentages</t>
  </si>
  <si>
    <t>Long Term Debt Capital Percentage</t>
  </si>
  <si>
    <t>Set at 49.75</t>
  </si>
  <si>
    <t>Global Settlement Value</t>
  </si>
  <si>
    <t>Preferred Stock Capital Percentage</t>
  </si>
  <si>
    <t>Set at 0.5%</t>
  </si>
  <si>
    <t>Common Stock Capital Percentage</t>
  </si>
  <si>
    <t>Annual Cost of Capital Components</t>
  </si>
  <si>
    <t>Total Return on Common Equity</t>
  </si>
  <si>
    <t>Sum Lines 214 and 215</t>
  </si>
  <si>
    <t>PG&amp;E Return on Common Equity</t>
  </si>
  <si>
    <t>PG&amp;E ROE</t>
  </si>
  <si>
    <t>FERC ISO Participation Incentive Adder</t>
  </si>
  <si>
    <t>Note 2</t>
  </si>
  <si>
    <t>Calculation of Cost of Capital Rate</t>
  </si>
  <si>
    <t>Weighted Cost of Long Term Debt</t>
  </si>
  <si>
    <t>Weighted Cost of Preferred Stock</t>
  </si>
  <si>
    <t>Weighted Cost of Common Stock</t>
  </si>
  <si>
    <t>Cost of Capital Rate</t>
  </si>
  <si>
    <t xml:space="preserve">Equity Rate of Return Including Common and Preferred Stock </t>
  </si>
  <si>
    <t xml:space="preserve">FERC Participation Incentive Rate of Return </t>
  </si>
  <si>
    <t>Return on Capital: Rate Base times Cost of Capital Rate</t>
  </si>
  <si>
    <t xml:space="preserve">Remove Return on Abandoned Plant from FERC Participation Incentive </t>
  </si>
  <si>
    <t>Total Return on Capital</t>
  </si>
  <si>
    <t>3) Other Taxes</t>
  </si>
  <si>
    <t>Property Taxes</t>
  </si>
  <si>
    <t>Sub-Total Local Taxes</t>
  </si>
  <si>
    <t>FF1 263, L.13, col i</t>
  </si>
  <si>
    <t>Property Tax Allocation Factor</t>
  </si>
  <si>
    <t>24-Allocators, L. 141</t>
  </si>
  <si>
    <t>Total Transmission Property Taxes</t>
  </si>
  <si>
    <t>Payroll Tax Expense</t>
  </si>
  <si>
    <t>Fed Ins Cont Amt -- Current</t>
  </si>
  <si>
    <t>FF1 263, L. 1, col L</t>
  </si>
  <si>
    <t>CA SUI Current</t>
  </si>
  <si>
    <t>FF1 263, L. 7, col L</t>
  </si>
  <si>
    <t>Fed Unemp Tax Act- Current</t>
  </si>
  <si>
    <t>FF1 263, L. 3, col L</t>
  </si>
  <si>
    <t>Business Taxes</t>
  </si>
  <si>
    <t>WP_1-BaseTRR_Pyrl_Tax 2, L. 105</t>
  </si>
  <si>
    <t>Portion of FF1, 263.14L Total</t>
  </si>
  <si>
    <t xml:space="preserve">SF Pyrl Exp Tx </t>
  </si>
  <si>
    <t>WP_1-BaseTRR_Pyrl_Tax 2, L. 106</t>
  </si>
  <si>
    <t>Total Electric Payroll Tax Expense</t>
  </si>
  <si>
    <t>Network Transmission Labor as a % of Total Electric Labor Allocation Factor</t>
  </si>
  <si>
    <t>24-Allocators, L. 112</t>
  </si>
  <si>
    <t>Total Transmission Payroll Tax Expense</t>
  </si>
  <si>
    <t>Total Other Taxes</t>
  </si>
  <si>
    <t>4) Income Taxes</t>
  </si>
  <si>
    <t>Federal Income Tax Rate</t>
  </si>
  <si>
    <t>22-TaxRates, L. 100</t>
  </si>
  <si>
    <t>State Income Tax Rate</t>
  </si>
  <si>
    <t>22-TaxRates, L. 101</t>
  </si>
  <si>
    <t>Composite Tax Rate</t>
  </si>
  <si>
    <t>Calculation of Flowthrough and Permanent Tax Deductions (FPD):</t>
  </si>
  <si>
    <t>Book Depreciation of AFUDC Equity Book Basis</t>
  </si>
  <si>
    <t>WP_1-BaseTRR_Tax 1, L. 100</t>
  </si>
  <si>
    <t>Flowthrough and Permanent Tax Deductions</t>
  </si>
  <si>
    <t>Calculation of Credits and Other (CO):</t>
  </si>
  <si>
    <r>
      <t xml:space="preserve">Amortization of (Excess) </t>
    </r>
    <r>
      <rPr>
        <sz val="11"/>
        <rFont val="Calibri"/>
        <family val="2"/>
      </rPr>
      <t>Deficient</t>
    </r>
    <r>
      <rPr>
        <sz val="11"/>
        <rFont val="Calibri"/>
        <family val="2"/>
        <scheme val="minor"/>
      </rPr>
      <t xml:space="preserve"> Deferred Tax Liability</t>
    </r>
  </si>
  <si>
    <t>WP_1-BaseTRR_Tax 3, L. 100</t>
  </si>
  <si>
    <t>Note 3</t>
  </si>
  <si>
    <t>Federal and State Tax Credits</t>
  </si>
  <si>
    <t>WP_1-BaseTRR_Tax 2, L. 103</t>
  </si>
  <si>
    <t>Credits and Other</t>
  </si>
  <si>
    <t>Income Taxes:</t>
  </si>
  <si>
    <t>Income Taxes = [((RB * ER) + FPD - RAP) * (CTR/(1 – CTR))]  + CO/(1 – CTR)]</t>
  </si>
  <si>
    <t>Where:</t>
  </si>
  <si>
    <t>RB = Rate Base</t>
  </si>
  <si>
    <t>ER = Equity Rate of Return Including Common and Preferred Stock</t>
  </si>
  <si>
    <t>CTR = Composite Tax Rate</t>
  </si>
  <si>
    <t>CO = Credits and Other</t>
  </si>
  <si>
    <t>FPD = Flowback and Permanent Tax Deductions</t>
  </si>
  <si>
    <t>RAP = Return on Abandoned Plant From CAISO Participation Incentive</t>
  </si>
  <si>
    <t>5) Prior Year Transmission Revenue Requirement</t>
  </si>
  <si>
    <t>Prior Year TRR Components</t>
  </si>
  <si>
    <t>O&amp;M Expense</t>
  </si>
  <si>
    <t>18-OandM, L. 100, col 15</t>
  </si>
  <si>
    <t>A&amp;G Expense</t>
  </si>
  <si>
    <t>19-AandG, L. 221</t>
  </si>
  <si>
    <t>Network Upgrade Interest Expense</t>
  </si>
  <si>
    <t>15-NUC, L. 106</t>
  </si>
  <si>
    <t>Depreciation Expense (incl. Common + General + Intangible)</t>
  </si>
  <si>
    <t>11-Depreciation, L. 102, col 13 + L. 500, col 1</t>
  </si>
  <si>
    <t>Depreciation Expense - Rate Adjustment</t>
  </si>
  <si>
    <t>11-Depreciation, L. 902</t>
  </si>
  <si>
    <t>Abandoned Plant Amortization Expense</t>
  </si>
  <si>
    <t>8-AbandonedPlant, L. 102, col 7</t>
  </si>
  <si>
    <t>Return on Capital</t>
  </si>
  <si>
    <t>Other Taxes</t>
  </si>
  <si>
    <t>Income Taxes</t>
  </si>
  <si>
    <t>20-RevenueCredits, L. 100, col 7</t>
  </si>
  <si>
    <t>Negative Value</t>
  </si>
  <si>
    <t>NP&amp;S Credit</t>
  </si>
  <si>
    <t>21-NPandS, L. 403</t>
  </si>
  <si>
    <t>Amortization and Regulatory Debits/Credits</t>
  </si>
  <si>
    <t>17-RegAssets-1, L. 102</t>
  </si>
  <si>
    <t>Note 4</t>
  </si>
  <si>
    <t>Total without FF, Uncollectibles, and South Georgia</t>
  </si>
  <si>
    <t>SFGR Tax and Franchise Fees</t>
  </si>
  <si>
    <t>Franchise Fees Factor</t>
  </si>
  <si>
    <t>25-RFandUFactors, L. 400</t>
  </si>
  <si>
    <t>SFGR Tax Factor</t>
  </si>
  <si>
    <t>25-RFandUFactors, L. 401</t>
  </si>
  <si>
    <t>Total SFGR Tax and Franchise Fees</t>
  </si>
  <si>
    <t>Prior Year TRR</t>
  </si>
  <si>
    <t>6) Wholesale Base Transmission Revenue Requirement</t>
  </si>
  <si>
    <t>ITRR</t>
  </si>
  <si>
    <t>Wholesale Base Transmission Revenue Requirement</t>
  </si>
  <si>
    <t>7) Base Transmission Revenue Requirement</t>
  </si>
  <si>
    <t>Uncollectibles Factor</t>
  </si>
  <si>
    <t>25-RFandUFactors, L. 402</t>
  </si>
  <si>
    <t>Uncollectibles Expense</t>
  </si>
  <si>
    <t>Retail (South Georgia) Tax Adjustment</t>
  </si>
  <si>
    <t>23-RetailSGTax, L. 305, col 3</t>
  </si>
  <si>
    <t>Retail Base Transmission Revenue Requirement</t>
  </si>
  <si>
    <t>Notes:</t>
  </si>
  <si>
    <t>1) Global Settlement Value. The ROE is inclusive of all ROE-related incentives, current or future, during the Term of this Settlement.</t>
  </si>
  <si>
    <t>2) Global Settlement Value. Per Settlement, no additional CAISO incentive to be added to the ROE of 10.45% during the Term of this Settlement.</t>
  </si>
  <si>
    <t>3) The 'Amortization of Excess Deferred Tax Liability' amount was included in the TO19 Settlement filed on September 21, 2018 and approved by the Commission on December 20, 2018 in 165 FERC ¶ 61,244 (2018). The amount shown equals protected and unprotected amortization.  The unprotected amortization of (excess)/deficient deferred federal income tax may be reduced from $14.695 million to $2.064 million pursuant to Section 2.2.1.2 of the TO19 Settlement Agreement.</t>
  </si>
  <si>
    <t>4) For FERC authorized Other Regulatory Assets in Section 1 of Schedule 17-RegAssets1, which are not otherwise recovered in O&amp;M or A&amp;G expenses.</t>
  </si>
  <si>
    <t>1) Annual Fixed Charge Rate ("AFCR") Calculation</t>
  </si>
  <si>
    <t>AFCR = Prior Year TRR / Net Plant</t>
  </si>
  <si>
    <t>Determination of Net Plant:</t>
  </si>
  <si>
    <t>Transmission Plant:</t>
  </si>
  <si>
    <t>Transmission Dep. Reserve:</t>
  </si>
  <si>
    <t>Net Plant:</t>
  </si>
  <si>
    <t>Determination of AFCR:</t>
  </si>
  <si>
    <t>Prior Year TRR wo RF&amp;U:</t>
  </si>
  <si>
    <t>Less: Depreciation Expense</t>
  </si>
  <si>
    <t>Less: Impact of ADIT</t>
  </si>
  <si>
    <t>(1-BaseTRR, L. 111c x 1-BaseTRR, L. 220) x (1+1-BaseTRR, L. 402/(1 - 1-BaseTRR, L. 402)) + (1-BaseTRR, L. 111c x 1-BaseTRR, L 216)</t>
  </si>
  <si>
    <t>AFCR Applicable TRR</t>
  </si>
  <si>
    <t>AFCR:</t>
  </si>
  <si>
    <t>2) Calculation of ITRR</t>
  </si>
  <si>
    <t>Forecast Plant Additions:</t>
  </si>
  <si>
    <t>9-PlantAdditions, L. 124, col 6</t>
  </si>
  <si>
    <t>AFCR prior to Deprec &amp; ADIT Impacts</t>
  </si>
  <si>
    <t>Add: Depreciation Expense</t>
  </si>
  <si>
    <t>Add: Impact of ADIT</t>
  </si>
  <si>
    <t>ITRR without RF&amp;U:</t>
  </si>
  <si>
    <t>Incremental Forecast Period TRR:</t>
  </si>
  <si>
    <t>7-PlantInService, L. 113 col 13</t>
  </si>
  <si>
    <t>13-Month Avg</t>
  </si>
  <si>
    <t>7-PlantInService, L. 702, col 1</t>
  </si>
  <si>
    <t>BOY EOY Avg</t>
  </si>
  <si>
    <t>8-AbandonedPlant, L. 102, col 12</t>
  </si>
  <si>
    <t>13-WorkCap, L. 113, col 2</t>
  </si>
  <si>
    <t>13-WorkCap, L. 215, col 5</t>
  </si>
  <si>
    <t>10-AccDep, L. 113, col 13</t>
  </si>
  <si>
    <t>Negative 13-Month Avg</t>
  </si>
  <si>
    <t>10-AccDep, L. 702, col 1</t>
  </si>
  <si>
    <t>Negative BOY EOY Avg</t>
  </si>
  <si>
    <t>14-ADIT, L. 108, col 2</t>
  </si>
  <si>
    <t>Weighted Average</t>
  </si>
  <si>
    <t>17-RegAssets-1, L. 203</t>
  </si>
  <si>
    <t>Customer Advances</t>
  </si>
  <si>
    <t>15-NUC, L. 109</t>
  </si>
  <si>
    <t>16-UnfundedReserves, L. 100, col 2</t>
  </si>
  <si>
    <t>17-RegAssets, L. 101</t>
  </si>
  <si>
    <t>Instructions:</t>
  </si>
  <si>
    <t xml:space="preserve">1) Input the ROE for the Prior Year on Line 200. </t>
  </si>
  <si>
    <t>Prior Year Return on Common Equity</t>
  </si>
  <si>
    <t>1-BaseTRR, L. 213</t>
  </si>
  <si>
    <t>ROE from Schedule 1; if there are mid-year changes, a workpaper will be provided</t>
  </si>
  <si>
    <t>(5-CostofCap-3, L. 113 / [(5-CostofCap-2, L. 100 - L. 101 + L. 102 + L. 103 + L. 104) - (sum L. 105 to L. 107)]) * 1-BaseTRR, L. 208</t>
  </si>
  <si>
    <t>3) Income Taxes</t>
  </si>
  <si>
    <t>1) Input the Prior Year Federal and State Income Tax Rates if they are different from the Rate Year Tax Rates.</t>
  </si>
  <si>
    <t>22-TaxRates, L. 200</t>
  </si>
  <si>
    <t>22-TaxRates, L. 201</t>
  </si>
  <si>
    <t>Income Taxes = [((RB * ER) + FPD - RAP) * (CTR/(1 – CTR))]  + CO/(1 – CTR]</t>
  </si>
  <si>
    <t>RAP = Return on Abandoned Plant From FERC Participation Incentive</t>
  </si>
  <si>
    <t>4) True-up Transmission Revenue Requirement</t>
  </si>
  <si>
    <t>Total with SFGR Tax and Franchise Fees</t>
  </si>
  <si>
    <t>ATA that was included in the Prior Year's Rates</t>
  </si>
  <si>
    <t>RY2021 TO Model, Schedule 1-BaseTRR, L. 602</t>
  </si>
  <si>
    <t>Total with ATA</t>
  </si>
  <si>
    <t>Uncollectibles and Retail (South Georgia) Tax Adjustment</t>
  </si>
  <si>
    <t>23-RetailSGTax, L. 305, col 4</t>
  </si>
  <si>
    <t>1) Retail Revenues</t>
  </si>
  <si>
    <t>1) Populate the table with retail revenue data from the Prior Year.  Only populate if the Model was in effect in the Prior Year.</t>
  </si>
  <si>
    <t>Col 1</t>
  </si>
  <si>
    <t>Col 2</t>
  </si>
  <si>
    <t>Col 3</t>
  </si>
  <si>
    <t>Col 4</t>
  </si>
  <si>
    <t>Col 5</t>
  </si>
  <si>
    <t>Col 6</t>
  </si>
  <si>
    <t>Col 7</t>
  </si>
  <si>
    <t>Col 8</t>
  </si>
  <si>
    <t>Sum of Col 1 to 7</t>
  </si>
  <si>
    <t>Retail</t>
  </si>
  <si>
    <t>Other</t>
  </si>
  <si>
    <t>Public Purpose</t>
  </si>
  <si>
    <t>Nuclear</t>
  </si>
  <si>
    <t>Month</t>
  </si>
  <si>
    <t>Transmission</t>
  </si>
  <si>
    <t>Distribution</t>
  </si>
  <si>
    <t>Generation</t>
  </si>
  <si>
    <t>Programs</t>
  </si>
  <si>
    <t>Decommissioning</t>
  </si>
  <si>
    <t>Total Revenue</t>
  </si>
  <si>
    <t>Jan</t>
  </si>
  <si>
    <t>Feb</t>
  </si>
  <si>
    <t>Mar</t>
  </si>
  <si>
    <t>Apr</t>
  </si>
  <si>
    <t>May</t>
  </si>
  <si>
    <t>Jun</t>
  </si>
  <si>
    <t>Jul</t>
  </si>
  <si>
    <t>Aug</t>
  </si>
  <si>
    <t>Sep</t>
  </si>
  <si>
    <t>Oct</t>
  </si>
  <si>
    <t>Nov</t>
  </si>
  <si>
    <t>Dec</t>
  </si>
  <si>
    <t>Totals:</t>
  </si>
  <si>
    <t>Total Sales: FF1 300, L. 10, col b</t>
  </si>
  <si>
    <t>2) Comparison of Monthly True-Up TRR to Monthly Retail Transmission Revenue</t>
  </si>
  <si>
    <t>2) Input the monthly FERC interest rates (18 C.F.R. §35.19a) for the corresponding Month and Year into Col 6.</t>
  </si>
  <si>
    <t>True Up TRR:</t>
  </si>
  <si>
    <t>Source:</t>
  </si>
  <si>
    <t>Col 9</t>
  </si>
  <si>
    <t>Note 5</t>
  </si>
  <si>
    <t>Note 6</t>
  </si>
  <si>
    <t>Note 7</t>
  </si>
  <si>
    <t>Note 8</t>
  </si>
  <si>
    <t>Cumulative Excess</t>
  </si>
  <si>
    <t>or Shortfall in</t>
  </si>
  <si>
    <t>Monthly</t>
  </si>
  <si>
    <t xml:space="preserve">Monthly Excess or </t>
  </si>
  <si>
    <t>Retail Revenue</t>
  </si>
  <si>
    <t>Accumulated</t>
  </si>
  <si>
    <t>Year</t>
  </si>
  <si>
    <t>True-up TRR</t>
  </si>
  <si>
    <t>Revenues</t>
  </si>
  <si>
    <t>Shortfall in Revenue</t>
  </si>
  <si>
    <t>without Interest</t>
  </si>
  <si>
    <t>Interest Rate</t>
  </si>
  <si>
    <t>Interest</t>
  </si>
  <si>
    <t>with Interest</t>
  </si>
  <si>
    <t>December</t>
  </si>
  <si>
    <t>N/A</t>
  </si>
  <si>
    <t>January</t>
  </si>
  <si>
    <t>February</t>
  </si>
  <si>
    <t>March</t>
  </si>
  <si>
    <t>April</t>
  </si>
  <si>
    <t xml:space="preserve">June </t>
  </si>
  <si>
    <t>July</t>
  </si>
  <si>
    <t>August</t>
  </si>
  <si>
    <t>September</t>
  </si>
  <si>
    <t>October</t>
  </si>
  <si>
    <t>November</t>
  </si>
  <si>
    <t>3) Amortization of the Balance of the Cumulative Excess or Shortfall in Revenue with Interest Over the Rate Year</t>
  </si>
  <si>
    <r>
      <rPr>
        <b/>
        <u/>
        <sz val="11"/>
        <color theme="1"/>
        <rFont val="Calibri"/>
        <family val="2"/>
        <scheme val="minor"/>
      </rPr>
      <t>Instructions:</t>
    </r>
    <r>
      <rPr>
        <u/>
        <sz val="11"/>
        <color theme="1"/>
        <rFont val="Calibri"/>
        <family val="2"/>
        <scheme val="minor"/>
      </rPr>
      <t xml:space="preserve"> </t>
    </r>
  </si>
  <si>
    <t>Note 9</t>
  </si>
  <si>
    <t>Note 10</t>
  </si>
  <si>
    <t>Note 11</t>
  </si>
  <si>
    <t>Beginning</t>
  </si>
  <si>
    <t>Ending Balance</t>
  </si>
  <si>
    <t>Interest for</t>
  </si>
  <si>
    <t>Balance</t>
  </si>
  <si>
    <t>Amortization</t>
  </si>
  <si>
    <t>Current Month</t>
  </si>
  <si>
    <t>Total Amortization:</t>
  </si>
  <si>
    <t>4) Annual True-up Adjustment</t>
  </si>
  <si>
    <t>ATA</t>
  </si>
  <si>
    <t>5)  Partial Year True-up and TRR Allocation Factors</t>
  </si>
  <si>
    <t>Partial Year True-up?</t>
  </si>
  <si>
    <t>No</t>
  </si>
  <si>
    <t>Note 12</t>
  </si>
  <si>
    <t>Note 13</t>
  </si>
  <si>
    <t xml:space="preserve">PG&amp;E Gross Load </t>
  </si>
  <si>
    <t>Formula Rate</t>
  </si>
  <si>
    <t>Prior Year</t>
  </si>
  <si>
    <t>Allocation Factor</t>
  </si>
  <si>
    <t>(MWh)</t>
  </si>
  <si>
    <t>Effective?</t>
  </si>
  <si>
    <t>Total</t>
  </si>
  <si>
    <t>6) Final True-up Adjustment</t>
  </si>
  <si>
    <t>1) PG&amp;E shall calculate the Final True-up Adjustment for the period spanning the day after the period covered by the most recent ATA that was included in the Base TRR to the expiration of the Formula Rate.</t>
  </si>
  <si>
    <t>2) The Final True Up Adjustment shall be calculated using the same methodology as above, with interest through the date of the termination of the Formula Rate.</t>
  </si>
  <si>
    <t xml:space="preserve">1) Data for cols 1 through 7 are Prior Year revenues from PG&amp;E's Revenue Reporting System, Report R646BRESU.  Col 1 only includes Base Retail Transmission Revenues.  Any other retail transmission revenues are included in the "Other" Category. </t>
  </si>
  <si>
    <t>2) Other Transmission Revenues includes: the Transmission Revenue Balancing Account Adjustment (TRBAA) revenues, the Reliability Services Balancing Account Adjustment (RSBAA) revenues, the End-use Customer Refund Balancing Account Adjustment (ECRBAA) revenues, and the Transmission Access Charge Balancing Account Adjustment (TACBAA) revenues.</t>
  </si>
  <si>
    <t xml:space="preserve">5) Corrections or Adjustments applied to Line 201 from previously-filed Annual Updates are outlined in Section 4.6.5 of the Protocols. </t>
  </si>
  <si>
    <t>6) The monthly FERC interest rate as stated in Instruction 2.</t>
  </si>
  <si>
    <t xml:space="preserve">7) Monthly Interest is calculated by summing half of the current month's "Excess or Shortfall in Revenue" with last month's "Cumulative Excess or Shortfall in Revenue with Interest" and multiplying by the result by the current month's FERC interest rate.  </t>
  </si>
  <si>
    <t>8) Accumulated Interest is the sum of the current month's "Monthly Interest" with last month's "Accumulated Interest".</t>
  </si>
  <si>
    <t>12) To calculate the monthly allocation factor, take the corresponding month's Gross Load in Col 3 and divide by the total Gross Load in L. 513, Col 3.</t>
  </si>
  <si>
    <t>13) Data is PG&amp;E's monthly Gross Load as measured by the CASIO monthly settlements of PG&amp;E's Gross Load.</t>
  </si>
  <si>
    <t>1) Return and Capitalization Calculations</t>
  </si>
  <si>
    <t>Calculation of Long Term Debt Amount</t>
  </si>
  <si>
    <t>Bonds -- Account 221</t>
  </si>
  <si>
    <t>5-CostofCap-2, L. 100, col 14</t>
  </si>
  <si>
    <t>End of Year</t>
  </si>
  <si>
    <t>Reacquired Bonds -- Account 222</t>
  </si>
  <si>
    <t>5-CostofCap-2, L. 101, col 14</t>
  </si>
  <si>
    <t>End of Year; enter negative</t>
  </si>
  <si>
    <t>Long Term Debt Advances from Associated Companies -- Account 223</t>
  </si>
  <si>
    <t>5-CostofCap-2, L. 102, col 14</t>
  </si>
  <si>
    <t>Other Long Term Debt -- Account 224</t>
  </si>
  <si>
    <t>5-CostofCap-2, L. 103, col 14</t>
  </si>
  <si>
    <t>Unamortized Premium on Long Term Debt -- Account 225</t>
  </si>
  <si>
    <t>5-CostofCap-2, L. 104, col 14</t>
  </si>
  <si>
    <t>Unamortized Discount on Long Term Debt -- Account 226</t>
  </si>
  <si>
    <t>5-CostofCap-2, L. 105, col 14</t>
  </si>
  <si>
    <t>Unamortized Debt Expenses -- Account 181</t>
  </si>
  <si>
    <t>5-CostofCap-2, L. 106, col 14</t>
  </si>
  <si>
    <t>Unamortized Loss on Reacquired Debt -- Account 189</t>
  </si>
  <si>
    <t>5-CostofCap-2, L. 107, col 14</t>
  </si>
  <si>
    <t>1-BaseTRR, L. 402</t>
  </si>
  <si>
    <t xml:space="preserve">After tax amount of Unamortized Loss on Reacquired Debt </t>
  </si>
  <si>
    <t>Line 107 * (1- Line 108)</t>
  </si>
  <si>
    <t>Sum of Lines 100 to 106 and Line 109</t>
  </si>
  <si>
    <t>Calculation of Preferred Stock Amount</t>
  </si>
  <si>
    <t>Preferred Stock Amount -- Account 204</t>
  </si>
  <si>
    <t>5-CostofCap-2, L. 108, col 14</t>
  </si>
  <si>
    <t>Unamortized Issuance Costs</t>
  </si>
  <si>
    <t>5-CostofCap-2, L. 109, col 14</t>
  </si>
  <si>
    <t>Net Gain (Loss) From Purchase and Tender Offers</t>
  </si>
  <si>
    <t>5-CostofCap-2, L. 110, col 14</t>
  </si>
  <si>
    <t>Sum of Lines 111 to 113</t>
  </si>
  <si>
    <t>Calculation of Common Stock Equity Amount</t>
  </si>
  <si>
    <t>Total Proprietary Capital</t>
  </si>
  <si>
    <t>5-CostofCap-2, L. 111, col 14</t>
  </si>
  <si>
    <t>Less Preferred Stock Amount</t>
  </si>
  <si>
    <t>Line 114</t>
  </si>
  <si>
    <t>Same as Line 114, but negative</t>
  </si>
  <si>
    <t>Minus Net Gain (Loss) From Purchase and Tender Offers</t>
  </si>
  <si>
    <t>Line 113</t>
  </si>
  <si>
    <t>Same as Line 113, but reverse sign</t>
  </si>
  <si>
    <t>Less Unappropriated Undist. Sub. Earnings -- Acct. 216.1</t>
  </si>
  <si>
    <t>5-CostofCap-2, L. 112, col 14</t>
  </si>
  <si>
    <t>End of Year, but reverse sign</t>
  </si>
  <si>
    <t>Less Accumulated Other Comprehensive Loss -- Account 219</t>
  </si>
  <si>
    <t>5-CostofCap-2, L. 113, col 14</t>
  </si>
  <si>
    <t>Sum of Lines 115 to 119</t>
  </si>
  <si>
    <t>1) Enter 13 months of balances for capital structure for Prior Year and December previous to Prior Year in Columns 2-14.  Beginning and End of year amounts in Columns 2 and 14 are from FERC Form 1, as referenced in below notes.</t>
  </si>
  <si>
    <t>Col 10</t>
  </si>
  <si>
    <t>Col 11</t>
  </si>
  <si>
    <t>Col 12</t>
  </si>
  <si>
    <t>Col 13</t>
  </si>
  <si>
    <t>Col 14</t>
  </si>
  <si>
    <t>13-Month Avg.</t>
  </si>
  <si>
    <t>June</t>
  </si>
  <si>
    <t>= Sum (Cols. 2-14)/13</t>
  </si>
  <si>
    <t>Bonds -- Account 221 (Note 1):</t>
  </si>
  <si>
    <t xml:space="preserve">Reacquired Bonds -- Account 222 (Note 2): </t>
  </si>
  <si>
    <t>Long Term Debt Advances from Associated Companies -- Account 223 (Note 3):</t>
  </si>
  <si>
    <t>Other Long Term Debt -- Account 224 (Note 4):</t>
  </si>
  <si>
    <t>Unamortized Premium on Long Term Debt -- Account 225 (Note 5)</t>
  </si>
  <si>
    <t xml:space="preserve">Less Unamortized Discount on Long Term Debt -- Account 226 (Note 6): </t>
  </si>
  <si>
    <t xml:space="preserve">Unamortized Debt Expenses -- Account 181 (Note 7): </t>
  </si>
  <si>
    <t xml:space="preserve">Unamortized Loss on Reacquired Debt -- Account 189 (Note 8): </t>
  </si>
  <si>
    <t>Preferred Stock Amount -- Account 204 (Note 9):</t>
  </si>
  <si>
    <t xml:space="preserve">Unamortized Preferred Stock Issuance and Expense Costs (Note 10): </t>
  </si>
  <si>
    <t>Net Gain (Loss) From Purchase and Tender Offers on Preferred Stock (Note 11):</t>
  </si>
  <si>
    <t>Total Proprietary Capital  (Note 12)</t>
  </si>
  <si>
    <t xml:space="preserve">Unappropriated Undist. Sub. Earnings -- Acct. 216.1 (Note 13): </t>
  </si>
  <si>
    <t xml:space="preserve">Accumulated Other Comprehensive Loss -- Account 219 (Note 14): </t>
  </si>
  <si>
    <t>1) Amount in Column 2 from FF1 112, L. 18, col d, amount in Column 14 from FF1 112, L. 18, col c, amounts in columns 3-13 from PG&amp;E internal records (G/L account Cumulative Balance by period for SAP account 9221000, Company Code PGE1)</t>
  </si>
  <si>
    <t>2) Amount in Column 2 from FF1 112, L. 19, col d, amount in Column 14 from FF1 112, L. 19, col c, amounts in columns 3-13 from PG&amp;E internal records (G/L account Cumulative Balance by period for SAP account 9222000, Company Code PGE1)</t>
  </si>
  <si>
    <t>3) Amount in Column 2 from FF1 112, L. 20, col d, amount in Column 14 from FF1 112, L. 20, col c, amounts in columns 3-13 from PG&amp;E internal records (G/L account Cumulative Balance by period for SAP account 9223000, Company Code PGE1)</t>
  </si>
  <si>
    <t>4) Amount in Column 2 from FF1 112, L. 21, col d, amount in Column 14 from FF1 112, L. 21, col c, amounts in columns 3-13 from PG&amp;E internal records (G/L account Cumulative Balance by period for SAP account 9224000, Company Code PGE1)</t>
  </si>
  <si>
    <t>5) Amount in Column 2 from FF1 112, L. 22, col d, amount in Column 14 from FF1 112, L. 22, col c, amounts in columns 3-13 from PG&amp;E internal records (G/L account Cumulative Balance by period for SAP account 9225000, Company Code PGE1)</t>
  </si>
  <si>
    <t>6) Amount in Column 2 from FF1 112, L. 23, col d, amount in Column 14 from FF1 112, L. 23, col c, amounts in columns 3-13 from PG&amp;E internal records (G/L account Cumulative Balance by period for SAP account 9226000, Company Code PGE1)</t>
  </si>
  <si>
    <t>7) Amount in Column 2 from FF1 111, L. 69, col d, amount in Column 14 from FF1 111, L. 69, col c, amounts in columns 3-13 from PG&amp;E internal records (G/L account Cumulative Balance by period for SAP accounts 9181000, 9181001, Company Code PGE1)</t>
  </si>
  <si>
    <t>8) Amount in Column 2 from FF1 111, L. 81, col d, amount in Column 14 from FF1 111, L. 81, col c, amounts in columns 3-13 from PG&amp;E internal records (G/L account Cumulative Balance by period for SAP account 9189000, Company Code PGE1)</t>
  </si>
  <si>
    <t>9) Amounts in Columns 2-14 are from PG&amp;E internal records (G/L account Cumulative Balance by period for SAP accounts 9204000, 9204020, Company Code PGE1)</t>
  </si>
  <si>
    <t>10) Amounts in Columns 2-14 are from PG&amp;E internal records (equal to the negative sum of G/L account for SAP accounts 2070020, 2130020, and 2140020; Company Code PGE1)</t>
  </si>
  <si>
    <t>11) Amounts in Columns 2-14 are from PG&amp;E internal records (because of non-use, there is no SAP account)</t>
  </si>
  <si>
    <t xml:space="preserve">12) Amount in Column 2 from FF1 112, L. 16, col d, amount in Column 14 from FF1 112, L. 16, col c, amounts in columns 3-13 from PG&amp;E internal records (G/L account Cumulative Balance by period for SAP accounts 2010000, 2040000, 2040001, 2070000, 2070020, 2110010, 2110015, 2130020, </t>
  </si>
  <si>
    <t>2140001, 2440020, Company Code PGE1)</t>
  </si>
  <si>
    <t>13) Amount in Column 2 from FF1 112, L. 12, col d, amount in Column 14 from FF1 112, L. 12, col c, amounts in columns 3-13 from PG&amp;E internal records (G/L account Cumulative Balance by period for SAP account 2161001, Company Code PGE1)</t>
  </si>
  <si>
    <t>14) Amount in Column 2 from FF1 112, L. 15, col d, amount in Column 14 from FF1 112, L. 15, col c, amounts in columns 3-13 from PG&amp;E internal records (G/L account Cumulative Balance by period for SAP account 2190001, Company Code PGE1)</t>
  </si>
  <si>
    <t>1) Calculation of Cost of Long Term Debt</t>
  </si>
  <si>
    <t>Long-Term Debt Component - Denominator:</t>
  </si>
  <si>
    <t>(Plus) Bonds (Acct. 221)</t>
  </si>
  <si>
    <t>FF1 112, L. 18, col c</t>
  </si>
  <si>
    <t>(Less) Reacquired Bonds (Acct. 222)</t>
  </si>
  <si>
    <t>FF1 112, L. 19, col c</t>
  </si>
  <si>
    <t>(Plus) Other Long-Term Debt (Acct. 224)</t>
  </si>
  <si>
    <t>FF1 112, L. 21, col c</t>
  </si>
  <si>
    <t xml:space="preserve">(Plus) Unamortized Premium on Long-Term Debt (Acct. 225) </t>
  </si>
  <si>
    <t>FF1 112, L. 22, col c</t>
  </si>
  <si>
    <t xml:space="preserve">(Less) Unamortized Discount on Long-Term Debt-Debit (Acct. 226) </t>
  </si>
  <si>
    <t>FF1 112, L. 23, col c</t>
  </si>
  <si>
    <t>(Less) Unamortized Debt Expenses (Acct. 181)</t>
  </si>
  <si>
    <t>FF1 111, L. 69, col c</t>
  </si>
  <si>
    <t>(Less) Unamortized Loss on Reacquired Debt (Acct. 189)</t>
  </si>
  <si>
    <t>FF1 111, L. 81, col c</t>
  </si>
  <si>
    <t>LTD = Long Term Debt</t>
  </si>
  <si>
    <t>Long-Term Debt Component - Numerator:</t>
  </si>
  <si>
    <t xml:space="preserve">(Plus) Interest on Long-Term Debt (Acct. 427) </t>
  </si>
  <si>
    <t>FF1 117, L. 62, col c</t>
  </si>
  <si>
    <t>(Plus) Amort. of Debt Disc. and Expense (Acct. 428)</t>
  </si>
  <si>
    <t>FF1 117, L. 63, col c</t>
  </si>
  <si>
    <t>(Plus) Amortization of Loss on Reacquired Debt (Acct. 428.1)</t>
  </si>
  <si>
    <t>FF1 117, L. 64, col c</t>
  </si>
  <si>
    <t>(Less) Amort. of Premium on Debt-Credit (Acct. 429)</t>
  </si>
  <si>
    <t>FF1 117, L. 65, col c</t>
  </si>
  <si>
    <t xml:space="preserve">(Less) Amortization of Gain on Reacquired Debt-Credit (Acct. 429.1) </t>
  </si>
  <si>
    <t>FF1 117, L. 66, col c</t>
  </si>
  <si>
    <t>LTD interest</t>
  </si>
  <si>
    <t>Cost of Long-Term Debt:</t>
  </si>
  <si>
    <t>1) Calculation of "Preferred Stock Cost Percentage"</t>
  </si>
  <si>
    <t>Amount</t>
  </si>
  <si>
    <t>Reference</t>
  </si>
  <si>
    <t>Total Annual Cost of Preferred Stock:</t>
  </si>
  <si>
    <t>Total Reacquired Preferred Stock Cost:</t>
  </si>
  <si>
    <t>Total Annual Cost of Preferred:</t>
  </si>
  <si>
    <t>Total Preferred Stock Amount Outstanding:</t>
  </si>
  <si>
    <t>Total Premium/Discount</t>
  </si>
  <si>
    <t>Total Preferred Balance:</t>
  </si>
  <si>
    <t>Preferred Stock Cost Percentage:</t>
  </si>
  <si>
    <t>2) Preferred Stock Information for each Outstanding Series</t>
  </si>
  <si>
    <t>PG&amp;E Records</t>
  </si>
  <si>
    <t>FF1 250, col a</t>
  </si>
  <si>
    <t>FF1 251, col f</t>
  </si>
  <si>
    <t>FF1 251, col e</t>
  </si>
  <si>
    <t>= Col 5 + Col 6</t>
  </si>
  <si>
    <t>= Col 3 x Col 5</t>
  </si>
  <si>
    <t>Preferred Stock Series Name</t>
  </si>
  <si>
    <t>Issue Date</t>
  </si>
  <si>
    <t>Dividend Rate</t>
  </si>
  <si>
    <t>Dividend</t>
  </si>
  <si>
    <t>Face Value/ Amount Outstanding</t>
  </si>
  <si>
    <t>Total Premium/
Discount Cost</t>
  </si>
  <si>
    <t>Shares Outstanding</t>
  </si>
  <si>
    <t>Net Proceeds at Issuance</t>
  </si>
  <si>
    <t>Annual
Dividend</t>
  </si>
  <si>
    <t>A</t>
  </si>
  <si>
    <t>B</t>
  </si>
  <si>
    <t>C</t>
  </si>
  <si>
    <t>D</t>
  </si>
  <si>
    <t>E</t>
  </si>
  <si>
    <t>G</t>
  </si>
  <si>
    <t>H</t>
  </si>
  <si>
    <t>I</t>
  </si>
  <si>
    <t>Total Amount Outstanding (sum of above):</t>
  </si>
  <si>
    <t>3) Reacquired Preferred Stock Information</t>
  </si>
  <si>
    <t>Call Date</t>
  </si>
  <si>
    <t>Total Issuance Cost</t>
  </si>
  <si>
    <t>Unamortized Issuance Cost</t>
  </si>
  <si>
    <t>Amortization Period</t>
  </si>
  <si>
    <t xml:space="preserve">Issuance Amortization Cost </t>
  </si>
  <si>
    <t>Notes and Sources</t>
  </si>
  <si>
    <t>---</t>
  </si>
  <si>
    <t>Total Annual Cost (sum of above):</t>
  </si>
  <si>
    <t xml:space="preserve">1) PG&amp;E's Treasury uses an internal monthly Excel-based report to track historical information associated with preferred stock issuances.  Due to the age of </t>
  </si>
  <si>
    <t>each preferred stock series, many of the original hard copy records are no longer available, and electronic records were not available at time of issuance.</t>
  </si>
  <si>
    <t>2) Annual dividend calculation consistent with 18 CFR 35.13 (22) (iii)</t>
  </si>
  <si>
    <t>Transmission Plant in FERC Form 1 for Prior Year:</t>
  </si>
  <si>
    <t xml:space="preserve">Transmission Plant balances are Prior Year ending balances from PG&amp;E's FERC Form 1. </t>
  </si>
  <si>
    <t>FERC Transmission Plant represents only Network Transmission plant that is eligible for inclusion in rate base and recoverable through the TO rate case.</t>
  </si>
  <si>
    <t>CPUC Transmission Plant represents Transmission Plant not recoverable through the TO rate case.</t>
  </si>
  <si>
    <t>Col 1 + Col 3 - Col 4</t>
  </si>
  <si>
    <t>FERC Form 1</t>
  </si>
  <si>
    <t>FERC</t>
  </si>
  <si>
    <t>CPUC</t>
  </si>
  <si>
    <t>FERC Account</t>
  </si>
  <si>
    <t>Account Description</t>
  </si>
  <si>
    <t>Source for Col 1</t>
  </si>
  <si>
    <t>Adjustments</t>
  </si>
  <si>
    <t>Source for Col 4</t>
  </si>
  <si>
    <t>Land and Land Rights</t>
  </si>
  <si>
    <t xml:space="preserve">FF1 207, L. 48, col g </t>
  </si>
  <si>
    <t>7-PlantInService, L. 112, col 1 + col 2</t>
  </si>
  <si>
    <t>Structures and Improvements</t>
  </si>
  <si>
    <t xml:space="preserve">FF1 207, L. 49, col g </t>
  </si>
  <si>
    <t>7-PlantInService, L. 112, col 3 + col 4</t>
  </si>
  <si>
    <t>Station Equipment</t>
  </si>
  <si>
    <t xml:space="preserve">FF1 207, L. 50, col g </t>
  </si>
  <si>
    <t>7-PlantInService, L. 112, col 5 + col 6</t>
  </si>
  <si>
    <t>Towers and Fixtures</t>
  </si>
  <si>
    <t xml:space="preserve">FF1 207, L. 51, col g </t>
  </si>
  <si>
    <t>7-PlantInService, L. 112, col 7</t>
  </si>
  <si>
    <t>Poles and Fixtures</t>
  </si>
  <si>
    <t xml:space="preserve">FF1 207, L. 52, col g </t>
  </si>
  <si>
    <t>7-PlantInService, L. 112, col 8</t>
  </si>
  <si>
    <t>Overhead Conductors and Devices</t>
  </si>
  <si>
    <t xml:space="preserve">FF1 207, L. 53, col g </t>
  </si>
  <si>
    <t>7-PlantInService, L. 112, col 9</t>
  </si>
  <si>
    <t>Underground Conduit</t>
  </si>
  <si>
    <t xml:space="preserve">FF1 207, L. 54, col g </t>
  </si>
  <si>
    <t>7-PlantInService, L. 112, col 10</t>
  </si>
  <si>
    <t>Underground Conductor and Devices</t>
  </si>
  <si>
    <t xml:space="preserve">FF1 207, L. 55, col g </t>
  </si>
  <si>
    <t>7-PlantInService, L. 112, col 11</t>
  </si>
  <si>
    <t>Roads and Trails</t>
  </si>
  <si>
    <t xml:space="preserve">FF1 207, L. 56, col g </t>
  </si>
  <si>
    <t>7-PlantInService, L. 112, col 12</t>
  </si>
  <si>
    <t>Asset Retirement Costs for Transmission Plant</t>
  </si>
  <si>
    <t xml:space="preserve">FF1 207, L. 57, col g </t>
  </si>
  <si>
    <t>Total Transmission Plant</t>
  </si>
  <si>
    <t>1) For a description of the adjustments included in Col 3 and a reconciliation by FERC account to PG&amp;E's FERC Form 1, please see WP_7-PlantInService 3.</t>
  </si>
  <si>
    <t>2) FERC sub-account 359.1 "Asset Retirement Costs for Transmission Plant" is not included in rate base for purposes of the TO rate case.</t>
  </si>
  <si>
    <t xml:space="preserve">. . . </t>
  </si>
  <si>
    <t>1) Total Network Transmission Functional Plant</t>
  </si>
  <si>
    <t>Total Network Transmission Functional Plant is the total of High Voltage (Section 2) and Low Voltage (Section 3) Network Transmission Plant. The monthly balances in Lines 100 -112 are the end-of-month balances for Prior Year and December of Prior Year minus 1.</t>
  </si>
  <si>
    <t>Section 2 + 
Section 3</t>
  </si>
  <si>
    <t>Total of Col 1-12</t>
  </si>
  <si>
    <t>FERC Account:</t>
  </si>
  <si>
    <t>ETP35001</t>
  </si>
  <si>
    <t>ETP35002</t>
  </si>
  <si>
    <t>ETP35201</t>
  </si>
  <si>
    <t>ETP35202</t>
  </si>
  <si>
    <t>ETP35301</t>
  </si>
  <si>
    <t>ETP35302</t>
  </si>
  <si>
    <t>ETP35400</t>
  </si>
  <si>
    <t>ETP35500</t>
  </si>
  <si>
    <t>ETP35600</t>
  </si>
  <si>
    <t>ETP35700</t>
  </si>
  <si>
    <t>ETP35800</t>
  </si>
  <si>
    <t>ETP35900</t>
  </si>
  <si>
    <t>13-Month Average</t>
  </si>
  <si>
    <t>2) Network Transmission Functional Plant - High Voltage</t>
  </si>
  <si>
    <t xml:space="preserve">Network Transmission High Voltage Functional Plant balances are extracted from PowerPlant, PG&amp;E's fixed asset system of record, by querying by Asset Class, FERC Account and UCC. The balances are then adjusted to include only the FERC Jurisdiction Transmission plant that is eligible </t>
  </si>
  <si>
    <t>for inclusion in rate base, and recoverable through the TO rate case (as shown in WP_7-PlantInService 1). The monthly balances in Lines 200 - 212 are the end-of-month balances for Prior Year and December of Prior Year minus 1.</t>
  </si>
  <si>
    <t>3) Network Transmission Functional Plant - Low Voltage</t>
  </si>
  <si>
    <t xml:space="preserve">Network Transmission Low Voltage Functional Plant balances are extracted from PowerPlant, PG&amp;E's fixed asset system of record, by querying by Asset Class, FERC Account and UCC. The balances are then adjusted to include only the FERC Jurisdiction Transmission plant that is eligible </t>
  </si>
  <si>
    <t>for inclusion in rate base, and recoverable through the TO rate case (as shown in WP_7-PlantInService 1). The monthly balances in Lines 300 - 312 are the end-of-month balances for Prior Year and December of Prior Year minus 1.</t>
  </si>
  <si>
    <t>4) Direct Assigned Common, General and Intangible (CGI) Plant</t>
  </si>
  <si>
    <t>Direct Assigned Common, General and Intangible (CGI) Plant In Service balances are extracted from PowerPlant, PG&amp;E's fixed asset system of record, by querying by Asset Class, FERC Account and UCC.</t>
  </si>
  <si>
    <t>Col 2 + Col 3</t>
  </si>
  <si>
    <t>Total Direct</t>
  </si>
  <si>
    <t>Direct Assigned</t>
  </si>
  <si>
    <t>Assigned CGI</t>
  </si>
  <si>
    <t>High Voltage</t>
  </si>
  <si>
    <t>Low Voltage</t>
  </si>
  <si>
    <t>See WP_7-PlantInService 5, L. 122, col 1 and col 2 from annual update for Prior Year minus 1</t>
  </si>
  <si>
    <t>See WP_7-PlantInService 5, L. 122, col 1 and col 2</t>
  </si>
  <si>
    <t>Average</t>
  </si>
  <si>
    <t>(Line 400 + Line 401)/2</t>
  </si>
  <si>
    <t>5) Corporate Services (Gas and Electric) Residual Common, General and Intangible (CGI) Plant</t>
  </si>
  <si>
    <t>Corporate Services (Gas and Electric) Residual Common, General and Intangible (CGI) Plant is extracted from PowerPlant, PG&amp;E's fixed asset system of record, by querying by Asset Class, FERC Account and UCC.</t>
  </si>
  <si>
    <t>24-Allocators, 
L. 113</t>
  </si>
  <si>
    <t>Col 1 * Col 2</t>
  </si>
  <si>
    <t>Col 3 * 24-Allocators, L. 126</t>
  </si>
  <si>
    <t>Col 3 * 24-Allocators, L. 127</t>
  </si>
  <si>
    <t>Network</t>
  </si>
  <si>
    <t>Total PG&amp;E</t>
  </si>
  <si>
    <t>Residual CGI</t>
  </si>
  <si>
    <t>O&amp;M Labor Factor</t>
  </si>
  <si>
    <t>Corporate CGI</t>
  </si>
  <si>
    <t>See WP_7-PlantInService 5, L. 122, col 11 from annual update for Prior Year minus 1</t>
  </si>
  <si>
    <t>See WP_7-PlantInService 5, L. 122, col 11</t>
  </si>
  <si>
    <t>(Line 500 + Line 501)/2</t>
  </si>
  <si>
    <t>6) Corporate Services (Electric) Residual Common, General and Intangible (CGI) Plant</t>
  </si>
  <si>
    <t>Corporate Services (Electric) Residual Common, General and Intangible (CGI) Plant is extracted from PowerPlant, PG&amp;E's fixed asset system of record, by querying by Asset Class, FERC Account and UCC.</t>
  </si>
  <si>
    <t>24-Allocators, 
L. 112</t>
  </si>
  <si>
    <t>Total Electric</t>
  </si>
  <si>
    <t>See WP_7-PlantInService 5, L. 122, col 12 from annual update for Prior Year minus 1</t>
  </si>
  <si>
    <t>See WP_7-PlantInService 5, L. 122, col 12</t>
  </si>
  <si>
    <t>(Line 600 + Line 601)/2</t>
  </si>
  <si>
    <t>7) Total Network Transmission Common, General and Intangible (CGI) Plant</t>
  </si>
  <si>
    <t>Total Network Transmission Common, General and Intangible (CGI) Plant is the total of the Direct Assigned CGI Plant (Section 4) and the residual CGI Plant (Sections 5-6) allocated to Network Transmission using labor allocation factors.</t>
  </si>
  <si>
    <t>Total of 
Sections 4-6</t>
  </si>
  <si>
    <t>Total Network</t>
  </si>
  <si>
    <t>High</t>
  </si>
  <si>
    <t>Low</t>
  </si>
  <si>
    <t>Transmission CGI</t>
  </si>
  <si>
    <t>Voltage CGI</t>
  </si>
  <si>
    <t>Line 400 + Line 500 + Line 600</t>
  </si>
  <si>
    <t>Line 401 + Line 501 + Line 601</t>
  </si>
  <si>
    <t>(Line 700 + Line 701)/2</t>
  </si>
  <si>
    <t>1) Network Transmission Direct Assigned CGI Plant is Plant in FERC Accounts 389-399 or 301-303 that serves only Network Transmission. For Prior Year amounts by Line of Business, see WP_7-PlantInService 5, L. 122.</t>
  </si>
  <si>
    <t>2) Corporate Residual (Gas and Electric) CGI Plant is Plant in FERC Accounts 389-399 or 301-303 that serves all PG&amp;E Gas and Electric Lines of Business. For Prior Year amount, see WP_7-PlantInService 5, L. 122.</t>
  </si>
  <si>
    <t>3) Corporate Residual (Electric) CGI Plant is Plant in FERC Accounts 389-399 or 301-303 that serves PG&amp;E Electric Lines of Business only. For Prior Year amount, see WP_7-PlantInService 5, L. 122.</t>
  </si>
  <si>
    <t>PG&amp;E will include recoverable costs in this worksheet for cancelled projects approved or pending approval by the Commission for Abandoned Plant recovery.</t>
  </si>
  <si>
    <t>1) Prior Year Abandoned Plant</t>
  </si>
  <si>
    <t>(Col 6 + Col 8)/2</t>
  </si>
  <si>
    <t>Col 9 * Composite Tax Rate</t>
  </si>
  <si>
    <t>Col 8 - Col 10</t>
  </si>
  <si>
    <t>Col 9 - Col 10</t>
  </si>
  <si>
    <t>Total Project</t>
  </si>
  <si>
    <t xml:space="preserve">Recoverable </t>
  </si>
  <si>
    <t>Start of</t>
  </si>
  <si>
    <t>EOY</t>
  </si>
  <si>
    <t xml:space="preserve">Average </t>
  </si>
  <si>
    <t>EOY Balance</t>
  </si>
  <si>
    <t>Average Balance</t>
  </si>
  <si>
    <t>Authorization</t>
  </si>
  <si>
    <t>Voltage</t>
  </si>
  <si>
    <t>Costs</t>
  </si>
  <si>
    <t>Period (yrs)</t>
  </si>
  <si>
    <t>BOY Balance</t>
  </si>
  <si>
    <t>ADIT</t>
  </si>
  <si>
    <t>Net of ADIT</t>
  </si>
  <si>
    <t>Docket Number</t>
  </si>
  <si>
    <t>Status</t>
  </si>
  <si>
    <t>Total High Voltage Abandoned Plant (sum from below)</t>
  </si>
  <si>
    <t>Total Low Voltage Abandoned Plant (sum from below)</t>
  </si>
  <si>
    <t>Totals</t>
  </si>
  <si>
    <t xml:space="preserve">PG&amp;E did not amortize any Electric Transmission abandoned plant projects in 2021. </t>
  </si>
  <si>
    <t>Forecast Network Transmission Net Plant Additions are calculated using the forecast capital expenditures for Funtional Plant major work categories for the two calendar years after the Prior Year.</t>
  </si>
  <si>
    <t>The 13-month average (including Prior Year + 2 and December of Prior Year + 1) of Net Plant Additions is multiplied by the AFCR to calculate the ITRR.</t>
  </si>
  <si>
    <t>1) Total Forecast Net Plant Additions</t>
  </si>
  <si>
    <t>Total Forecast Net Plant Additions are the total of High Voltage Net Plant Additions (Section 2) and Low Voltage Net Plant Additions (Section 3).</t>
  </si>
  <si>
    <t>Section 2 +
Section 3</t>
  </si>
  <si>
    <t>Forecast Period</t>
  </si>
  <si>
    <t>Gross</t>
  </si>
  <si>
    <t>Incremental</t>
  </si>
  <si>
    <t>Depreciation</t>
  </si>
  <si>
    <t>Cost of Removal</t>
  </si>
  <si>
    <t>Net</t>
  </si>
  <si>
    <t>Plant Adds</t>
  </si>
  <si>
    <t>Gross Plant</t>
  </si>
  <si>
    <t>Accrual</t>
  </si>
  <si>
    <t>Spend</t>
  </si>
  <si>
    <t>Reserve</t>
  </si>
  <si>
    <t>Plant Additions</t>
  </si>
  <si>
    <t>13-Month Average (Sum Lines 111 to 123)/13:</t>
  </si>
  <si>
    <t>Rate Year Depr Exp (sum Jan - Dec of the Rate Year)</t>
  </si>
  <si>
    <t>2) High Voltage Net Plant Additions</t>
  </si>
  <si>
    <t xml:space="preserve">High Voltage Net Plant Additions are the total of the forecasted Incremental Gross Plant less the Incremental Reserve. Incremental Gross Plant is the total of forecast Gross Plant Additions. </t>
  </si>
  <si>
    <t>Incremental Reserve is the total of the calculated depreciation related to the Incremental Gross Plant less the forecast Cost of Removal.</t>
  </si>
  <si>
    <t>For the calculation of forecast Gross Plant Additions and Cost of Removal by planning order, see workpapers WP_9-PlantAdditions 1-4.</t>
  </si>
  <si>
    <t>Prior Month 
+ Col 1</t>
  </si>
  <si>
    <t>Col 2 * 
(12-DepRates, L. 110, col 9)/12</t>
  </si>
  <si>
    <t>Prior Month 
+ Col 3 - Col 4</t>
  </si>
  <si>
    <t xml:space="preserve">Col 2 - Col 5 </t>
  </si>
  <si>
    <t xml:space="preserve">October </t>
  </si>
  <si>
    <t>13-Month Average:</t>
  </si>
  <si>
    <t>3) Low Voltage Net Plant Additions</t>
  </si>
  <si>
    <t xml:space="preserve">Low Voltage Net Plant Additions are the total of the forecasted Incremental Gross Plant less the Incremental Reserve. Incremental Gross Plant is the total of forecast Gross Plant Additions. </t>
  </si>
  <si>
    <t>1) For High and Low Voltage Gross Plant Additions see WP_9-PlantAdditions 5, L. 149-172.</t>
  </si>
  <si>
    <t>2) For High and Low Voltage Gross Plant Cost of Removal see WP_9-PlantAdditions 6, L. 149-172.</t>
  </si>
  <si>
    <t>1) Total Accumulated Depreciation for Network Transmission Functional Plant</t>
  </si>
  <si>
    <t xml:space="preserve">Total Accumulated Depreciation for Network Transmission Functional Plant is the total of the Accumulated Depreciation related to High Voltage (Section 2) and Low Voltage (Section 3) Network Transmission Plant. </t>
  </si>
  <si>
    <t>The monthly balances in Lines 100 -112 are the end-of-month balances for Prior Year and December of Prior Year - 1.</t>
  </si>
  <si>
    <t>2) Accumulated Depreciation for Network Transmission Functional Plant - High Voltage</t>
  </si>
  <si>
    <t>Accumulated Depreciation balances for Network Transmission High Voltage Functional Plant are extracted from PowerPlant, PG&amp;E's fixed asset system of record, by querying by Asset Class, FERC Account and UCC. The balances are then adjusted to include only the amounts related to</t>
  </si>
  <si>
    <t>FERC Jurisdiction Transmission Plant that are eligible for inclusion in rate base, and recoverable through the TO rate case. The monthly balances in Lines 200 - 212 are the end-of-month balances for Prior Year and December of Prior Year minus 1.</t>
  </si>
  <si>
    <t>3) Accumulated Depreciation for Network Transmission Functional Plant - Low Voltage</t>
  </si>
  <si>
    <t>Accumulated Depreciation balances for Network Transmission Low Voltage Functional Plant are extracted from PowerPlant, PG&amp;E's fixed asset system of record, by querying by Asset Class, FERC Account and UCC. The balances are then adjusted to include only the amounts related to</t>
  </si>
  <si>
    <t>FERC Jurisdiction Transmission Plant that are eligible for inclusion in rate base, and recoverable through the TO rate case. The monthly balances in Lines 300 - 312 are the end-of-month balances for Prior Year and December of Prior Year minus 1.</t>
  </si>
  <si>
    <t>4) Accumulated Depreciation for Direct Assigned Common, General and Intangible (CGI) Plant</t>
  </si>
  <si>
    <t>Accumulated Depreciation balances for Direct Assigned CGI Plant are extracted from PowerPlant, PG&amp;E's fixed asset system of record, by querying by Asset Class, FERC Account and UCC.</t>
  </si>
  <si>
    <t>Total CGI</t>
  </si>
  <si>
    <t>See WP_10-AccDep 4, L. 122, Col 1 and Col 2 from annual update for Prior Year minus 1</t>
  </si>
  <si>
    <t>See WP_10-AccDep 4, L. 122, Col 1 and Col 2</t>
  </si>
  <si>
    <t>5) Accumulated Depreciation for Corporate Services (Gas and Electric) Residual Common, General and Intangible (CGI) Plant</t>
  </si>
  <si>
    <t xml:space="preserve">Accumulated Depreciation balances for Corporate Services (Gas and Electric) Residual CGI Plant are extracted from PowerPlant, PG&amp;E's fixed asset system of record, by querying by Asset Class, FERC Account and UCC. </t>
  </si>
  <si>
    <t>See WP_10-AccDep 4, L. 122, Col 11 from annual update for Prior Year minus 1</t>
  </si>
  <si>
    <t>See WP_10-AccDep 4, L. 122, Col 11</t>
  </si>
  <si>
    <t>6) Accumulated Depreciation for Corporate Services (Electric) Residual Common, General and Intangible (CGI) Plant</t>
  </si>
  <si>
    <t xml:space="preserve">Accumulated Depreciation balances for Corporate Services (Electric) CGI Plant are extracted from PowerPlant, PG&amp;E's fixed asset system of record, by querying by Asset Class, FERC Account and UCC. </t>
  </si>
  <si>
    <t>See WP_10-AccDep 4, L. 122, Col 12 from annual update for Prior Year minus 1</t>
  </si>
  <si>
    <t>See WP_10-AccDep 4, L. 122, Col 12</t>
  </si>
  <si>
    <t>7) Total Accumulated Depreciation for Network Transmission Common, General and Intangible (CGI) Plant</t>
  </si>
  <si>
    <t>Total Accumulated Depreciation balances for Network Transmission CGI Plant is the total of the amount related to Direct Assigned CGI Plant (Section 4) and amounts related to Residual CGI Plant (Sections 5-6) allocated to Network Transmission using labor allocation factors.</t>
  </si>
  <si>
    <t>1) Accumulated Depreciation for Direct Assigned CGI Plant is related to Plant in FERC Accounts 389-399 or 301-303 that serves only Network Transmission. For Prior Year amounts by Line of Business, see WP_10-AccDep 4, L. 122, cols 1 and 2.</t>
  </si>
  <si>
    <t>2) Accumulated Depreciation for Corporate Residual (Gas and Electric) CGI Plant is related to Plant in FERC Accounts 389-399 or 301-303 that serves all PG&amp;E Gas and Electric Lines of Business. For Prior Year amount, see WP_10-AccDep 4, L. 122, col 11.</t>
  </si>
  <si>
    <t>3) Accumulated Depreciation for Corporate Residual (Electric) CGI Plant is related to Plant in FERC Accounts 389-399 or 301-303 that serves PG&amp;E Electric Lines of Business only. For Prior Year amount, see WP_10-AccDep 4, L. 122, col 12.</t>
  </si>
  <si>
    <t>1) Depreciation Expense for Network Transmission Functional Plant</t>
  </si>
  <si>
    <t xml:space="preserve">Prior Year recorded Depreciation Expense is extracted from PowerPlant, PG&amp;E's fixed asset system of record, by querying by Asset Class. It is then allocated to UCC and Line of Business based on Prior Year ending plant balances. </t>
  </si>
  <si>
    <t>The Depreciation Expense amounts by FERC Account and Asset Class in Lines 100 and 101 represent the amounts related to High Voltage and Low Voltage Network Transmission Plant.</t>
  </si>
  <si>
    <t>2) Depreciation Expense for Direct Assigned Common, General and Intangible (CGI) Plant</t>
  </si>
  <si>
    <t xml:space="preserve">Depreciation Expense for Direct Assigned CGI Plant is extracted from PowerPlant, PG&amp;E's fixed asset system of record, by querying by Asset Class. It is then allocated to UCC and Line of Business based on Prior Year ending plant balances. </t>
  </si>
  <si>
    <t>3) Depreciation Expense for Corporate Services (Gas and Electric) Residual Common, General and Intangible (CGI) Plant</t>
  </si>
  <si>
    <t xml:space="preserve">Depreciation Expense for Corporate Services (Gas and Electric) Residual CGI Plant is extracted from PowerPlant, PG&amp;E's fixed asset system of record, by querying by Asset Class. It is then allocated to UCC and Line of Business based on Prior Year ending plant balances. </t>
  </si>
  <si>
    <t>Corporate</t>
  </si>
  <si>
    <t>Allocation of</t>
  </si>
  <si>
    <t>4) Depreciation Expense for Corporate Services (Electric) Residual Common, General and Intangible (CGI) Plant</t>
  </si>
  <si>
    <t xml:space="preserve">Depreciation Expense for Corporate Services (Electric) Residual CGI Plant is extracted from PowerPlant, PG&amp;E's fixed asset system of record, by querying by Asset Class. It is then allocated to UCC and Line of Business based on Prior Year ending plant balances. </t>
  </si>
  <si>
    <t>Electric</t>
  </si>
  <si>
    <t>Electric CGI</t>
  </si>
  <si>
    <t>5) Total Depreciation Expense for Network Transmission Common, General and Intangible (CGI) Plant</t>
  </si>
  <si>
    <t>Total Depreciation Expense for Network Transmission CGI Plant is the total of the amount related to Direct Assigned CGI Plant (Section 2) and amounts related to Residual CGI Plant (Sections 3-4) allocated to Network Transmission using labor allocation factors.</t>
  </si>
  <si>
    <t>Total of 
Sections 2-4</t>
  </si>
  <si>
    <t>Line 200 + Line 300 + Line 400</t>
  </si>
  <si>
    <t>Calculation of Depreciation Expense Rate Adjustment for Proposed Depreciation Rates</t>
  </si>
  <si>
    <t>The following sections (Sections 6-9) are used to calculate the Depreciation Expense Rate Adjustment, which is a method to account for the potential difference in the Base TRR that would result from changing the depreciation rates for Network Transmission Functional Plant.</t>
  </si>
  <si>
    <t xml:space="preserve">The Depreciation Expense Rate Adjustment factors into the Base TRR only in filings where there are proposed depreciation rates for the rate year that are different from the rates used to record depreciation expense in the Prior Year. </t>
  </si>
  <si>
    <t>6) Total Network Transmission Functional Plant</t>
  </si>
  <si>
    <t>Total Network Transmission Functional Plant Prior Year balances are from 7-PlantInService, L. 101-112.</t>
  </si>
  <si>
    <t>7) Proposed Network Transmission Functional Plant Depreciation Rates</t>
  </si>
  <si>
    <t xml:space="preserve">Proposed Network Transmission Functional Plant Depreciation Rates are from 12-DepRates. The Depreciation Rates for Columns 3-12 are from 12-DepRates, L. 100 - 109. </t>
  </si>
  <si>
    <t>The rates listed below are annual rates.</t>
  </si>
  <si>
    <t>12-DepRates, 
L. 100</t>
  </si>
  <si>
    <t>12-DepRates, 
L. 101</t>
  </si>
  <si>
    <t>12-DepRates, 
L. 102</t>
  </si>
  <si>
    <t>12-DepRates, 
L. 103</t>
  </si>
  <si>
    <t>12-DepRates, 
L. 104</t>
  </si>
  <si>
    <t>12-DepRates, 
L. 105</t>
  </si>
  <si>
    <t>12-DepRates, 
L. 106</t>
  </si>
  <si>
    <t>12-DepRates, 
L. 107</t>
  </si>
  <si>
    <t>12-DepRates, 
L. 108</t>
  </si>
  <si>
    <t>12-DepRates, 
L. 109</t>
  </si>
  <si>
    <t>Proposed Depreciation Rates</t>
  </si>
  <si>
    <t>8) Calculated Depreciation Expense for Prior Year Recorded Network Transmission Functional Plant Using Proposed Rates</t>
  </si>
  <si>
    <t xml:space="preserve">The Prior Year recorded plant balances are multiplied by the proposed depreciation rates to calculate the total Prior Year depreciation expense that would have resulted from using the proposed rates. </t>
  </si>
  <si>
    <t>Section 6 * 
(Section 7)/12</t>
  </si>
  <si>
    <t>9) Depreciation Expense Rate Adjustment</t>
  </si>
  <si>
    <t xml:space="preserve">The Depreciation Expense Rate Adjustment is the difference between the recorded Prior Year depreciation expense and the depreciation expense amount that would have resulted from using the proposed rates. </t>
  </si>
  <si>
    <t>Calculated Depreciation Expense for Recorded Plant Using Proposed Rates</t>
  </si>
  <si>
    <t>Section 8, Line 812, col 13</t>
  </si>
  <si>
    <t>Total Prior Year Recorded Depreciation Expense</t>
  </si>
  <si>
    <t>Section 1, Line 102, col 13</t>
  </si>
  <si>
    <t>Depreciation Expense Rate Adjustment</t>
  </si>
  <si>
    <t>Line 900 minus Line 901</t>
  </si>
  <si>
    <t>1) Network Transmission Direct Assigned CGI Plant is Plant in FERC Accounts 389-399 or 301-303 that serves only Network Transmission. For Depreciation Expense amounts by Line of Business for Direct Assigned CGI Plant, see WP_11-Depreciation 3, L. 122, Cols 1 and 2.</t>
  </si>
  <si>
    <t>2) Corporate Residual (Gas and Electric) CGI Plant is Plant in FERC Accounts 389-399 or 301-303 that serves all PG&amp;E Gas and Electric Lines of Business. For Depreciation Expense forCorporate Residual (Gas and Electric) CGI Plant, see WP_11-Depreciation 3, L. 122, Col 11.</t>
  </si>
  <si>
    <t>3) Corporate Residual (Electric) CGI Plant is Plant in FERC Accounts 389-399 or 301-303 that serves PG&amp;E Electric Lines of Business only. For Depreciation Expense for Corporate Residual (Electric) CGI Plant, see WP_11-Depreciation 3, L. 122, Col 12.</t>
  </si>
  <si>
    <t>4) Account 350.01 - Land is not depreciated in the TO rate case.</t>
  </si>
  <si>
    <t>5) ETP35002 - Land Rights is depreciated using the composite depreciation rate excluding net salvage for transmission plant. (see 12-DepRates, L. 110, col 10)</t>
  </si>
  <si>
    <t>DEPRECIATION RATES (Note 1)</t>
  </si>
  <si>
    <t>1) ELECTRIC TRANSMISSION PLANT (Note 2)</t>
  </si>
  <si>
    <t>7-PlantInService, 
L. 112, Col 3-12</t>
  </si>
  <si>
    <t>Col 1 x Col 2</t>
  </si>
  <si>
    <t>10-AccDep, 
L. 112, Col 3-12</t>
  </si>
  <si>
    <t xml:space="preserve"> Col 1 - Col 3 - Col 4</t>
  </si>
  <si>
    <t>Col 1 x Col 9</t>
  </si>
  <si>
    <t>ORIGINAL</t>
  </si>
  <si>
    <t>NET SALVAGE</t>
  </si>
  <si>
    <t>BOOK</t>
  </si>
  <si>
    <t>FUTURE</t>
  </si>
  <si>
    <t>SURVIVOR</t>
  </si>
  <si>
    <t>REMAINING</t>
  </si>
  <si>
    <t>ANNUAL ACCRUAL</t>
  </si>
  <si>
    <t>Func</t>
  </si>
  <si>
    <t>Asset Class</t>
  </si>
  <si>
    <t>Asset Class Description</t>
  </si>
  <si>
    <t>COST</t>
  </si>
  <si>
    <t>PCT.</t>
  </si>
  <si>
    <t>AMOUNT</t>
  </si>
  <si>
    <t>RESERVE</t>
  </si>
  <si>
    <t>ACCRUALS</t>
  </si>
  <si>
    <t>CURVE</t>
  </si>
  <si>
    <t>LIFE</t>
  </si>
  <si>
    <t>RATE</t>
  </si>
  <si>
    <t>LIFE RATE</t>
  </si>
  <si>
    <t>COR RATE</t>
  </si>
  <si>
    <t>STRUCTURES AND IMPROVEMENTS</t>
  </si>
  <si>
    <t>70 - R3</t>
  </si>
  <si>
    <t>STRUCTURES AND IMPROVEMENTS - EQUIPMENT</t>
  </si>
  <si>
    <t>STATION EQUIPMENT</t>
  </si>
  <si>
    <t>46 - R2</t>
  </si>
  <si>
    <t>STATION EQUIPMENT - STEP-UP TRANSFORMERS</t>
  </si>
  <si>
    <t>55 - R1.5</t>
  </si>
  <si>
    <t>TOWERS AND FIXTURES</t>
  </si>
  <si>
    <t>75 - R4</t>
  </si>
  <si>
    <t>POLES AND FIXTURES</t>
  </si>
  <si>
    <t>54 - R1.5</t>
  </si>
  <si>
    <t>OVERHEAD CONDUCTORS AND DEVICES</t>
  </si>
  <si>
    <t>65 - R2</t>
  </si>
  <si>
    <t>UNDERGROUND CONDUIT</t>
  </si>
  <si>
    <t>65 - R4</t>
  </si>
  <si>
    <t>UNDERGROUND CONDUCTORS AND DEVICES</t>
  </si>
  <si>
    <t>55 - R3</t>
  </si>
  <si>
    <t>ROADS AND TRAILS</t>
  </si>
  <si>
    <t>60 - R1.5</t>
  </si>
  <si>
    <t>TOTAL TRANSMISSION PLANT</t>
  </si>
  <si>
    <t>(Note 3)</t>
  </si>
  <si>
    <t>2) COMMON, GENERAL AND INTANGIBLE (CGI) PLANT (Note 4)</t>
  </si>
  <si>
    <t>DEPRECIATION</t>
  </si>
  <si>
    <t>ACCRUAL RATES</t>
  </si>
  <si>
    <t>CMP30101</t>
  </si>
  <si>
    <t>ORGANIZATION - COMMON PLANT</t>
  </si>
  <si>
    <t>CMP30200</t>
  </si>
  <si>
    <t>FRANCHISES AND CONSENTS - COMMON PLANT</t>
  </si>
  <si>
    <t>CMP30301</t>
  </si>
  <si>
    <t>MISCELLANEOUS INTANGIBLE PLANT</t>
  </si>
  <si>
    <t>CMP30302</t>
  </si>
  <si>
    <t>SOFTWARE</t>
  </si>
  <si>
    <t>CMP30304</t>
  </si>
  <si>
    <t>SOFTWARE CIS</t>
  </si>
  <si>
    <t>CMP38901</t>
  </si>
  <si>
    <t>LAND - COMMON PLANT</t>
  </si>
  <si>
    <t>CMP38902</t>
  </si>
  <si>
    <t>LAND RIGHTS</t>
  </si>
  <si>
    <t>CMP39000</t>
  </si>
  <si>
    <t>CMP39001</t>
  </si>
  <si>
    <t>COMM PLANT: LEASEHOLD IMPR</t>
  </si>
  <si>
    <t>CMP39101</t>
  </si>
  <si>
    <t xml:space="preserve">OFFICE MACHINES </t>
  </si>
  <si>
    <t>CMP39102</t>
  </si>
  <si>
    <t>PC HARDWARE</t>
  </si>
  <si>
    <t>CMP39103</t>
  </si>
  <si>
    <t>OFFICE FURNITURE AND EQUIPMENT</t>
  </si>
  <si>
    <t>CMP39104</t>
  </si>
  <si>
    <t>OFFICE MACHINES AND COMPUTER EQUIPMENT - CIS - FULLY ACCRUED</t>
  </si>
  <si>
    <t>CMP39201</t>
  </si>
  <si>
    <t>TRANSPORTATION EQUIPMENT - AIR</t>
  </si>
  <si>
    <t>CMP39202</t>
  </si>
  <si>
    <t>TRANSPORTATION EQUIPMENT - CLASS P</t>
  </si>
  <si>
    <t>CMP39203</t>
  </si>
  <si>
    <t>TRANSPORTATION EQUIPMENT - CLASS C2</t>
  </si>
  <si>
    <t>CMP39204</t>
  </si>
  <si>
    <t>TRANSPORTATION EQUIPMENT - CLASS C4</t>
  </si>
  <si>
    <t>CMP39205</t>
  </si>
  <si>
    <t xml:space="preserve">TRANSPORTATION EQUIPMENT - CLASS T1 </t>
  </si>
  <si>
    <t>CMP39206</t>
  </si>
  <si>
    <t>TRANSPORTATION EQUIPMENT - CLASS T3</t>
  </si>
  <si>
    <t>CMP39207</t>
  </si>
  <si>
    <t xml:space="preserve">TRANSPORTATION EQUIPMENT - CLASS T4 </t>
  </si>
  <si>
    <t>CMP39208</t>
  </si>
  <si>
    <t>TRANSPORTATION EQUIPMENT - VESSELS</t>
  </si>
  <si>
    <t>CMP39209</t>
  </si>
  <si>
    <t>TRANSPORTATION EQUIPMENT - TRAILERS</t>
  </si>
  <si>
    <t>CMP39300</t>
  </si>
  <si>
    <t>STORES EQUIPMENT</t>
  </si>
  <si>
    <t>CMP39400</t>
  </si>
  <si>
    <t>TOOLS, SHOP AND GARAGE EQUIPMENT</t>
  </si>
  <si>
    <t>CMP39500</t>
  </si>
  <si>
    <t>LABORATORY EQUIPMENT</t>
  </si>
  <si>
    <t>CMP39600</t>
  </si>
  <si>
    <t>POWER OPERATED EQUIPMENT</t>
  </si>
  <si>
    <t>CMP39701</t>
  </si>
  <si>
    <t>COMMUNICATION EQUIPMENT - NON-COMPUTER</t>
  </si>
  <si>
    <t>CMP39702</t>
  </si>
  <si>
    <t>COMMUNICATION EQUIPMENT - COMPUTER</t>
  </si>
  <si>
    <t>CMP39703</t>
  </si>
  <si>
    <t>COMMUNICATION EQUIPMENT - RADIO SYSTEMS</t>
  </si>
  <si>
    <t>CMP39704</t>
  </si>
  <si>
    <t>COMMUNICATION EQUIPMENT - VOICE SYSTEMS</t>
  </si>
  <si>
    <t>CMP39705</t>
  </si>
  <si>
    <t>COMMUNICATION EQUIPMENT - TRANSMISSION SYSTEMS</t>
  </si>
  <si>
    <t>CMP39706</t>
  </si>
  <si>
    <t>COMMUNICATION EQUIPMENT - TRANSMISSION SYSTEMS, GAS AMI</t>
  </si>
  <si>
    <t>CMP39707</t>
  </si>
  <si>
    <t>COMMUNICATION EQUIPMENT - TRANSMISSION SYSTEMS, ELECTRIC AMI</t>
  </si>
  <si>
    <t>CMP39708</t>
  </si>
  <si>
    <t>AMI COMMUNICATION NETWORK</t>
  </si>
  <si>
    <t>CMP39800</t>
  </si>
  <si>
    <t>MISCELLANEOUS EQUIPMENT</t>
  </si>
  <si>
    <t>CMP39900</t>
  </si>
  <si>
    <t>OTHER TANGIBLE PROPERTY</t>
  </si>
  <si>
    <t>EGP38901</t>
  </si>
  <si>
    <t>LAND</t>
  </si>
  <si>
    <t>EGP38902</t>
  </si>
  <si>
    <t>EGP39000</t>
  </si>
  <si>
    <t>EGP39100</t>
  </si>
  <si>
    <t>EGP39400</t>
  </si>
  <si>
    <t>TOOLS, SHOP AND WORK EQUIPMENT</t>
  </si>
  <si>
    <t>EGP39500</t>
  </si>
  <si>
    <t>EGP39600</t>
  </si>
  <si>
    <t>EGP39700</t>
  </si>
  <si>
    <t>COMMUNICATION EQUIPMENT</t>
  </si>
  <si>
    <t>EGP39708</t>
  </si>
  <si>
    <t>EGP39800</t>
  </si>
  <si>
    <t>EIP30201</t>
  </si>
  <si>
    <t>FRANCHISES AND CONSENTS</t>
  </si>
  <si>
    <t>EIP30301</t>
  </si>
  <si>
    <t>USBR - LIMITED TERM ELECTRIC</t>
  </si>
  <si>
    <t>EIP30303</t>
  </si>
  <si>
    <t>COMPUTER SOFTWARE</t>
  </si>
  <si>
    <t>1) Depreciation Rates in this Schedule cannot be changed without FERC authorization from a Section 205 or 206 filing.</t>
  </si>
  <si>
    <t>2) Depreciation Rates in Cols 9, 10, and 11 are settled rates. Please see the the Offer of Settlement from PG&amp;E's October 15, 2020 global settlement filing.</t>
  </si>
  <si>
    <t>3)  Account 350.02-Land Rights, was calculated by using the composite depreciation rate excluding net salvage for transmission plant, as of December 31, 2017, to arrive at the stated rate shown (Line 110, col 10).  This rate cannot be changed absent a section 205 or 206 filing.</t>
  </si>
  <si>
    <t>4) See CPUC Decision 20-12-005.  In the event the CPUC modifies these depreciation rates in the future, pursuant to the Protocols, PG&amp;E will make a single issue filing at FERC to modify these rates.</t>
  </si>
  <si>
    <t>1) Calculation of Materials and Supplies</t>
  </si>
  <si>
    <t>Materials and Supplies balances are recorded in FERC Account 154.</t>
  </si>
  <si>
    <t>Col 2 * 
24-Allocators, L. 126</t>
  </si>
  <si>
    <t>Col 2 * 
24-Allocators, L. 127</t>
  </si>
  <si>
    <t xml:space="preserve">Total </t>
  </si>
  <si>
    <t>Company</t>
  </si>
  <si>
    <t xml:space="preserve">Line </t>
  </si>
  <si>
    <t>Materials &amp; Supplies</t>
  </si>
  <si>
    <t xml:space="preserve"> Transmission </t>
  </si>
  <si>
    <t>2) Calculation of Prepayments</t>
  </si>
  <si>
    <t>Prepaid property insurance is allocated to Electric Transmission Network (ETN) based on plant ratios.  Prepaid liability insurance is allocated to ETN based on a 40% plant, 60% labor ratio.  Other prepayments are allocated to ETN based on the labor ratio.</t>
  </si>
  <si>
    <t>Data Source:</t>
  </si>
  <si>
    <t>FF1 111, L. 57, col c</t>
  </si>
  <si>
    <t>col 3 - col 4</t>
  </si>
  <si>
    <t xml:space="preserve">Less:  </t>
  </si>
  <si>
    <t>Detail of Adjusted Total Prepaids</t>
  </si>
  <si>
    <t>Total Company Prepayments</t>
  </si>
  <si>
    <t>Direct Assignments</t>
  </si>
  <si>
    <t>Adjusted Total</t>
  </si>
  <si>
    <t>Property Insurance</t>
  </si>
  <si>
    <t>Liability Insurance</t>
  </si>
  <si>
    <t>Misc.</t>
  </si>
  <si>
    <t>40% Plant / 60%</t>
  </si>
  <si>
    <t>Allocation Method from Total Company to Electric Transmission Network</t>
  </si>
  <si>
    <t>Plant Ratio</t>
  </si>
  <si>
    <t>Labor Average</t>
  </si>
  <si>
    <t>Labor Ratio</t>
  </si>
  <si>
    <t>24-Allocators, L. 116, L. 135, L. 113</t>
  </si>
  <si>
    <t>a)  13 Month Avg Calculation</t>
  </si>
  <si>
    <t>Allocated Prepayments</t>
  </si>
  <si>
    <t>b)  EOY Calculation</t>
  </si>
  <si>
    <t xml:space="preserve">Note 1:   Materials and Supplies month-end balances are extracted from SAP by querying by General Ledger (GL) Account. December balances are from FF1 227, L. 12, cols b and c. </t>
  </si>
  <si>
    <t>Note 2:   PG&amp;E's supply chain management team uses specific material codes to assign recorded inventory balances to Network Transmission.</t>
  </si>
  <si>
    <t>Note 3:   PG&amp;E conducted a query of the subaccounts of General Ledger (GL) Account 165 and removed all prepayments that are directly assigned to PG&amp;E's Generation department in col 4.</t>
  </si>
  <si>
    <t>Note 4:   PG&amp;E conducted a query of GL Acct 165 for prepaid amounts related to A&amp;G account 924 property insurance and reflected the month-end recorded balances in col 6.</t>
  </si>
  <si>
    <t>Note 5:   PG&amp;E conducted a query of GL Acct 165 for prepaid amounts related to A&amp;G account 925 general liability insurance and reflected the month-end recorded balances in col 7.</t>
  </si>
  <si>
    <t>Note 6:   PG&amp;E conducted a query of GL Acct 165 for other prepaid amounts consisting of Acct 308.1 excise taxes, property taxes and miscellaneous and reflected the</t>
  </si>
  <si>
    <t>month-end recorded balances in col 8.</t>
  </si>
  <si>
    <t>1) Summary of Accumulated Deferred Income Taxes</t>
  </si>
  <si>
    <t>a) End of Year Accumulated Deferred Income Taxes</t>
  </si>
  <si>
    <t>Account</t>
  </si>
  <si>
    <t>Total ADIT</t>
  </si>
  <si>
    <t>Account 190</t>
  </si>
  <si>
    <t>Account 282</t>
  </si>
  <si>
    <t>Account 283</t>
  </si>
  <si>
    <t>Account 255</t>
  </si>
  <si>
    <t>Total Accumulated Deferred Income Taxes</t>
  </si>
  <si>
    <t>b) Beginning of Year Accumulated Deferred Income Taxes</t>
  </si>
  <si>
    <t>BOY ADIT</t>
  </si>
  <si>
    <t>WP_14-ADIT 1, L. 100, col 7</t>
  </si>
  <si>
    <t>c) Average of Beginning and End of Year Accumulated Deferred Income Taxes</t>
  </si>
  <si>
    <t>Average ADIT</t>
  </si>
  <si>
    <t>Weighted Average ADIT:</t>
  </si>
  <si>
    <t>Adjustment for Forecasted Proration vs Actual Proration:</t>
  </si>
  <si>
    <t>WP_14_ADIT, Tab 8, Col 13, Line 130</t>
  </si>
  <si>
    <t>Adjusted Average ADIT</t>
  </si>
  <si>
    <t>Line 106 + Line 107</t>
  </si>
  <si>
    <t>2) Account 190 Detail</t>
  </si>
  <si>
    <t>END BAL per G/L</t>
  </si>
  <si>
    <t xml:space="preserve">Gas and Other </t>
  </si>
  <si>
    <t>Electric Labor</t>
  </si>
  <si>
    <t>ACCT 190</t>
  </si>
  <si>
    <t>DESCRIPTION</t>
  </si>
  <si>
    <t>Sum Col 3 to Col 6</t>
  </si>
  <si>
    <t>Non-ISO Related Costs</t>
  </si>
  <si>
    <t>ISO Only</t>
  </si>
  <si>
    <t>Plant Related</t>
  </si>
  <si>
    <t>Related</t>
  </si>
  <si>
    <t>Electric:</t>
  </si>
  <si>
    <t>Environmental</t>
  </si>
  <si>
    <t>Gas and Other Non-ISO Related Costs</t>
  </si>
  <si>
    <t>WP_14-ADIT 2, L. 100, Col 2</t>
  </si>
  <si>
    <t>Compensation</t>
  </si>
  <si>
    <t>WP_14-ADIT 2, L. 101, Col 2</t>
  </si>
  <si>
    <t>Vacation Timing Differences</t>
  </si>
  <si>
    <t>Relates to all Regulated Electric Property</t>
  </si>
  <si>
    <t>WP_14-ADIT 2, L. 102, Col 2</t>
  </si>
  <si>
    <t>Contributions In Aid of Construction (CIAC)</t>
  </si>
  <si>
    <t>WP_14-ADIT 2, L. 103, Col 2</t>
  </si>
  <si>
    <t>Injuries and Damages</t>
  </si>
  <si>
    <t>WP_14-ADIT 2, L. 104, Col 2</t>
  </si>
  <si>
    <t>California Corporation Franchise Tax</t>
  </si>
  <si>
    <t>WP_14-ADIT 2, L. 105, Col 2</t>
  </si>
  <si>
    <t>Net Operating Losses Deferred Taxes</t>
  </si>
  <si>
    <t>Property-Related FERC Costs</t>
  </si>
  <si>
    <t>WP_14-ADIT 2, L. 106, Col 2 and WP_14-ADIT 3, L. 113</t>
  </si>
  <si>
    <t>ITC FAS 109 Deferred Taxes</t>
  </si>
  <si>
    <t>WP_14-ADIT 2, L. 107, Col 2</t>
  </si>
  <si>
    <t>Property Tax Timing Differences</t>
  </si>
  <si>
    <t>WP_14-ADIT 2, L. 108, Col 2</t>
  </si>
  <si>
    <t>WP_14-ADIT 2, L. 109, Col 2</t>
  </si>
  <si>
    <t>Total Account 190</t>
  </si>
  <si>
    <t>Allocation Factors (Plant and Wages)</t>
  </si>
  <si>
    <t>24-Allocators, L. 119, 112</t>
  </si>
  <si>
    <t>Total Account 190 ADIT</t>
  </si>
  <si>
    <t>(Sum of amounts in Columns 4 to 6)</t>
  </si>
  <si>
    <t>FERC Form 1 Account 190</t>
  </si>
  <si>
    <t>FF1 234, L. 18, col c</t>
  </si>
  <si>
    <t>3) Account 282 Detail</t>
  </si>
  <si>
    <t>Total Company</t>
  </si>
  <si>
    <t>Total Company Labor</t>
  </si>
  <si>
    <t>ACCT 282</t>
  </si>
  <si>
    <t xml:space="preserve">Fully Normalized Deferred Tax </t>
  </si>
  <si>
    <t>WP_14-ADIT 4, L. 103, Col 2</t>
  </si>
  <si>
    <t>Property/Non-ISO</t>
  </si>
  <si>
    <t>Property-Related CPUC Costs</t>
  </si>
  <si>
    <t xml:space="preserve">Common Plant </t>
  </si>
  <si>
    <t>Property-Related Costs</t>
  </si>
  <si>
    <t>WP_14-ADIT 4, L. 117, Col 2</t>
  </si>
  <si>
    <t>Total Account 282</t>
  </si>
  <si>
    <t>24-Allocators, L. 122, 116, 113</t>
  </si>
  <si>
    <t>Total Account 282 ADIT</t>
  </si>
  <si>
    <t>FERC Form 1 Account 282</t>
  </si>
  <si>
    <t>FF1 275, L. 9, col k</t>
  </si>
  <si>
    <t>Not Used</t>
  </si>
  <si>
    <t>4) Account 283 Detail</t>
  </si>
  <si>
    <t>ACCT 283</t>
  </si>
  <si>
    <t>Loss on Reaquired Debt</t>
  </si>
  <si>
    <t>FF1 277, L. 3 + L. 11, col k</t>
  </si>
  <si>
    <t>Balancing Accounts</t>
  </si>
  <si>
    <t>Relates Entirely to CPUC Balancing Account Recovery</t>
  </si>
  <si>
    <t>FF1 277, L. 4 + L. 12, col k</t>
  </si>
  <si>
    <t>FF1 277, L. 5 + L. 14 + L.18, col k</t>
  </si>
  <si>
    <t>Total Account 283</t>
  </si>
  <si>
    <t>24-Allocators, Lines 116, 113</t>
  </si>
  <si>
    <t>Total Account 283 ADIT</t>
  </si>
  <si>
    <t>FERC Form 1 Account 283</t>
  </si>
  <si>
    <t>FF1 277, L. 19, col k</t>
  </si>
  <si>
    <t>5) Account 255 Detail</t>
  </si>
  <si>
    <t>ACCT 255</t>
  </si>
  <si>
    <t>Investment Tax Credits</t>
  </si>
  <si>
    <t>WP_14-ADIT 7, L. 100, Col 6</t>
  </si>
  <si>
    <t>Investment Tax Credits - Common</t>
  </si>
  <si>
    <t>WP_14-ADIT 7, L. 101 , col 6</t>
  </si>
  <si>
    <t>Investment Tax Credits -Other</t>
  </si>
  <si>
    <t>Total Electric 255</t>
  </si>
  <si>
    <t>Total Account 255 ADIT</t>
  </si>
  <si>
    <t>FERC Form 1 Account 255</t>
  </si>
  <si>
    <t>FF1 267, L. 8 + L. 13, col h</t>
  </si>
  <si>
    <t>6) Tax Normalization Calculation Pursuant to Treas. Reg §1.167(l)-1(h)(6); PLR 9313008; 9202029; 922404; 201717008</t>
  </si>
  <si>
    <t>See Note 1</t>
  </si>
  <si>
    <t>See Note 2</t>
  </si>
  <si>
    <t>Col 5 / Tot. Days</t>
  </si>
  <si>
    <t>= Col 2 * Col 6</t>
  </si>
  <si>
    <t>Prior Month Col 8 + Col 7</t>
  </si>
  <si>
    <t>Mthly Deferred</t>
  </si>
  <si>
    <t xml:space="preserve">Deferred </t>
  </si>
  <si>
    <t>Number of Days</t>
  </si>
  <si>
    <t>Prorata</t>
  </si>
  <si>
    <t xml:space="preserve">Monthly </t>
  </si>
  <si>
    <t>Annual Accumulated</t>
  </si>
  <si>
    <t>Future Test Period</t>
  </si>
  <si>
    <t>Tax Amount</t>
  </si>
  <si>
    <t>Tax Balance</t>
  </si>
  <si>
    <t>Days in Month</t>
  </si>
  <si>
    <t>Left in Period</t>
  </si>
  <si>
    <t>Percentages</t>
  </si>
  <si>
    <t>Prorata Amounts</t>
  </si>
  <si>
    <t>Prorata Calculation</t>
  </si>
  <si>
    <t>Beginning Deferred Tax Balance (Line 105, Col. 2)</t>
  </si>
  <si>
    <t>Weighted Average ADIT Balance:</t>
  </si>
  <si>
    <t>7) Tax Normalization Calculation Pursuant to Treas. Reg §1.167(l)-1(h)(6); PLR 9313008; 9202029; 922404; 201717008 for the Forecasted Plant Additions</t>
  </si>
  <si>
    <t>Assumption Tax Depreciation - MACRS Half Year Convention over 15-Year Tax Life</t>
  </si>
  <si>
    <t>Year 1 Tax Depr Rate</t>
  </si>
  <si>
    <t>Year 2 Tax Depr Rate</t>
  </si>
  <si>
    <t>1-BaseTRR, Line 405</t>
  </si>
  <si>
    <t>Book Deprec</t>
  </si>
  <si>
    <t>Tax Deprec</t>
  </si>
  <si>
    <t>ADIT projected</t>
  </si>
  <si>
    <t>Amortization of Excess ADIT</t>
  </si>
  <si>
    <t>Adjusted ADIT Projected</t>
  </si>
  <si>
    <t>9-PlantAdditions Col 1, Lines 100-111</t>
  </si>
  <si>
    <t>Col 2 * 12-DepRates, Col 9, Line 110/12 * Remaining Months</t>
  </si>
  <si>
    <t>Col 2 * Col 1, Line 729</t>
  </si>
  <si>
    <t>Col 3 - Col 4 * 1-BaseTRR Line 402</t>
  </si>
  <si>
    <t>1-BaseTRR, Line 405/12</t>
  </si>
  <si>
    <t>Col 6 + Col 7</t>
  </si>
  <si>
    <t>Col 6, Lines 600-612</t>
  </si>
  <si>
    <t>Col 8 * Col 9</t>
  </si>
  <si>
    <t>Prior Month Col 11 + Col 10</t>
  </si>
  <si>
    <t>Sub-total Additions</t>
  </si>
  <si>
    <t>Filing Year &amp; Rate Year Plt Adds Book Deprec Rate Year</t>
  </si>
  <si>
    <t>Rate Year Plt Adds Rate Year Tax Deprec</t>
  </si>
  <si>
    <t>Filing Year Plt Adds Rate Year Tax Deprec</t>
  </si>
  <si>
    <t>Prorata Percentages</t>
  </si>
  <si>
    <t>Monthly ADIT</t>
  </si>
  <si>
    <t>Accumulated ADIT</t>
  </si>
  <si>
    <t>Rate Year Plant Additions</t>
  </si>
  <si>
    <t>9-PlantAdditions Col 1, Lines 112-123</t>
  </si>
  <si>
    <t>((Col 2, Line 712/12)*12-DepRates, Col 9, Line 110) + ((Col 2*12-DepRates, Col 9, Line 110/)12 * Remaining Months)</t>
  </si>
  <si>
    <t>Col 2, Line 712 * Col 1, Line 730/12</t>
  </si>
  <si>
    <t>Col 3 - Col 4 - Col 5 * 1-BaseTRR Line 402</t>
  </si>
  <si>
    <t>Total Additions</t>
  </si>
  <si>
    <t>Impact of ADIT on Forecasted Plant Additions Plus Amortization of Excess ADIT</t>
  </si>
  <si>
    <t>Table 1 - MACRS 15-Yr Prop</t>
  </si>
  <si>
    <t>1) The monthly deferred tax amounts are equal to the ending ADIT balance minus the beginning ADIT balance, divided by 12 months.</t>
  </si>
  <si>
    <t>2) For January through December = previous month balance plus amount in col 2.</t>
  </si>
  <si>
    <t>3) Formula for Line 728 (Line 727 x 1-BaseTRR L. 220) x (1-BaseTRR L. 402/(1 - 1-BaseTRR L. 402))+(Line 727 x 1-BaseTRR L 216)</t>
  </si>
  <si>
    <t>Beginning of Year Balances</t>
  </si>
  <si>
    <t>Outstanding Network Upgrade Credits Recorded in FERC Acct 252</t>
  </si>
  <si>
    <t>WP_15-NUC 1, L. 100, col 10</t>
  </si>
  <si>
    <t>FERC Acct 252 Other</t>
  </si>
  <si>
    <t>Total Acct 252 - Customer Advances for Construction</t>
  </si>
  <si>
    <t>FF1 113, L. 56, col d</t>
  </si>
  <si>
    <t>End of Year Balances</t>
  </si>
  <si>
    <t>Outstanding Network Upgrade Credits</t>
  </si>
  <si>
    <t>WP_15-NUC 2, L. 100, col 10</t>
  </si>
  <si>
    <t>FERC Acct 252 - Other</t>
  </si>
  <si>
    <t>FF1 113, L. 56, col c</t>
  </si>
  <si>
    <t>Interest on Network Upgrade Credits Recorded in FERC Acct 431</t>
  </si>
  <si>
    <t>WP_15-NUC 2, L. 101, col 7</t>
  </si>
  <si>
    <t>FERC Acct 431 - Other</t>
  </si>
  <si>
    <t>Total Acct 431 - Other Interest Expense</t>
  </si>
  <si>
    <t>FF1 117, L. 68, col c</t>
  </si>
  <si>
    <t xml:space="preserve">Average of EOY and BOY </t>
  </si>
  <si>
    <t>1)  Summary of Unfunded Reserves Average Balances</t>
  </si>
  <si>
    <t>Sum of BOY/EOY Averages</t>
  </si>
  <si>
    <t>Sum Lines 205, 303, 401, 503, 603</t>
  </si>
  <si>
    <t>Sum of EOY Values</t>
  </si>
  <si>
    <t>Sum col 2, Lines 204, 302, 400, 502, 602</t>
  </si>
  <si>
    <t>2)  Calculation of Allocated Accrued Vacation</t>
  </si>
  <si>
    <t>Beginning of year (BOY)</t>
  </si>
  <si>
    <t>End of Year (EOY)</t>
  </si>
  <si>
    <t>Total Company Accrued Vacation Liability</t>
  </si>
  <si>
    <t>Less:  Permanent Accounting Adjustment</t>
  </si>
  <si>
    <t>Net Accrued Vacation</t>
  </si>
  <si>
    <t>Labor Allocation Factor</t>
  </si>
  <si>
    <t>Allocated Accrued Vacation</t>
  </si>
  <si>
    <t>BOY/EOY Average:</t>
  </si>
  <si>
    <t>3)  Calculation of Allocated Preferred Stock Dividends Payable</t>
  </si>
  <si>
    <t>Beginning of year</t>
  </si>
  <si>
    <t>Dividends Declared-Preferred Stock (Acct. 437)</t>
  </si>
  <si>
    <t>Electric Plant over Total Plant</t>
  </si>
  <si>
    <t>Allocated Preferred Stock Dividends Payable</t>
  </si>
  <si>
    <t>4)  Calculation of Transition Cost</t>
  </si>
  <si>
    <t>Transition Cost</t>
  </si>
  <si>
    <t>see Note 4</t>
  </si>
  <si>
    <t>5)  Calculation of Injuries and Damages</t>
  </si>
  <si>
    <t>WP_16-UnfundedReserves, L. 101 and L. 105, See Note 5</t>
  </si>
  <si>
    <t>Liability Insurance Allocation Factor</t>
  </si>
  <si>
    <t>Allocated Injuries and Damages</t>
  </si>
  <si>
    <t>6)  Calculation of Severances</t>
  </si>
  <si>
    <t>Severance</t>
  </si>
  <si>
    <t>WP_16-UnfundedReserves, L. 201 and L. 205, See Note 5</t>
  </si>
  <si>
    <t>Note 1:  PG&amp;E conducted a query of GL Acct 2420024 Accrued Vacation Liability and reflected the beginning-of-year (BOY) and end-of-year (EOY) recorded balances in col 1 and col 2.</t>
  </si>
  <si>
    <t>Note 2:  Amount represents a one-time accounting adjustment to increase the vacation accrual that was never reflected in operating expenses, never recovered from customers and was instead absorbed by shareholders.   Amount is a permanent deduction from the vacation accrual since the dollars were not collected in revenue requirements and should not be considered in rate base.  This was affirmed by the CPUC in Decision 14-08-032.</t>
  </si>
  <si>
    <t>Note 3:  During PG&amp;E's Chapter 11 bankruptcy, filed on January 29, 2019, the company will treat monies collected to cover preferred stock costs as unfunded reserves for ratemaking purposes.  The methodology presented here applies only during the pendency of PG&amp;E's 2019 bankruptcy, and will no longer be applicable upon the company's emergence from Chapter 11.  Accordingly, the Allocated Preferred Stock Dividends Payable will only return values for 2019 and 2020 at this time, subject to revision in future FERC filings.</t>
  </si>
  <si>
    <r>
      <t xml:space="preserve">Note 4: Per Global Settlement Agreement for TO20, the parties agreed a transitional cost for </t>
    </r>
    <r>
      <rPr>
        <sz val="11"/>
        <rFont val="Calibri"/>
        <family val="2"/>
      </rPr>
      <t>75%</t>
    </r>
    <r>
      <rPr>
        <sz val="11"/>
        <rFont val="Calibri"/>
        <family val="2"/>
        <scheme val="minor"/>
      </rPr>
      <t xml:space="preserve"> of liabilities as of 12/31/2019 for severance and injuries and damages due to conversion from cash to accrual basis.  The unfunded reserves will be provided begining in RY2022 Annual Update, filed in 2021 which is the True-Up for 2020.  For 2020 True-Up, the beginning rate base balance is $0 with the ending balance rate base balance equals to the agreed transition cost.  The True-Ups of 2021 through 2023 in the FY 2023 through FY 2025 Annual Updates would reflect a beginning balance and ending balance of agreed transition cost.</t>
    </r>
  </si>
  <si>
    <t xml:space="preserve">Note 5: Per Global Settlement Agreement for TO20, the parties agreed to include incremental additional accrual amounts for injuries and damages and severances in the calculation of unfunded reserves.  For 2020 True-Up, the beginning rate base balance is $0 with the ending balance rate base balance equals to the incremental accruals from 2020.  </t>
  </si>
  <si>
    <t>Other Regulatory Assets and Liabilities are a component of Rate Base representing costs that have been</t>
  </si>
  <si>
    <t>deferred to a future period and recorded in Other Regulatory Assets (Account 182.3) and Regulatory Liabilities</t>
  </si>
  <si>
    <t>(Account 254).  This Schedule does not include Abandoned Plant costs recovered through Schedule 8.</t>
  </si>
  <si>
    <t xml:space="preserve">PG&amp;E will include a non-zero amount of Other Regulatory Assets and Liabilities only with Commission </t>
  </si>
  <si>
    <t>approval received subsequent to a PG&amp;E Section 205 filing requesting such treatment.</t>
  </si>
  <si>
    <t xml:space="preserve">Amortization and Regulatory Debits and Credits are costs of revenues that are approved for recovery from or </t>
  </si>
  <si>
    <t>return to customers in this formula transmission rate.  Approved costs are amortized as expenses or revenue</t>
  </si>
  <si>
    <t xml:space="preserve">in the Base TRR, consistent with a Commission Order.  </t>
  </si>
  <si>
    <t>1) Calculation of Regulatory Assets and Liabilities and Amortization of Debits and Credits</t>
  </si>
  <si>
    <t>1) Upon Commission approval of recovery of Other Regulatory Assets and Liabilities, Amortization and</t>
  </si>
  <si>
    <t>Regulatory Debits and Credits costs through this formula transmission rate:</t>
  </si>
  <si>
    <t>a) Fill in Description for issue in above table.</t>
  </si>
  <si>
    <t>b) Enter costs in columns 1-3 in above table for the applicable Prior Year.</t>
  </si>
  <si>
    <t>2) Insert additional lines as necessary for additional issues.</t>
  </si>
  <si>
    <t>Calculation or Source</t>
  </si>
  <si>
    <t>Other Regulatory Assets and Liabilities (EOY):</t>
  </si>
  <si>
    <t>Line 103, col 2</t>
  </si>
  <si>
    <t>Other Regulatory Assets and Liabilities (BOY/EOY average):</t>
  </si>
  <si>
    <t>Avg. of Line 103 col 1 and col 2</t>
  </si>
  <si>
    <t>Amortization and Regulatory Debits and Credits:</t>
  </si>
  <si>
    <t>Line 103, col 3</t>
  </si>
  <si>
    <t>col 1</t>
  </si>
  <si>
    <t>col 2</t>
  </si>
  <si>
    <t>col 3</t>
  </si>
  <si>
    <t>Description of Issue</t>
  </si>
  <si>
    <t>BOY</t>
  </si>
  <si>
    <t>Amortization or</t>
  </si>
  <si>
    <t xml:space="preserve">  Commission Order</t>
  </si>
  <si>
    <t>Resulting in Other Regulatory</t>
  </si>
  <si>
    <t>Other Reg</t>
  </si>
  <si>
    <t>Regulatory</t>
  </si>
  <si>
    <t xml:space="preserve"> Granting Approval of </t>
  </si>
  <si>
    <t>Asset/Liability</t>
  </si>
  <si>
    <t>Debit/Credit</t>
  </si>
  <si>
    <t xml:space="preserve">  Regulatory Liability</t>
  </si>
  <si>
    <t>Sum of below</t>
  </si>
  <si>
    <t>Issue #1</t>
  </si>
  <si>
    <t>Issue #2</t>
  </si>
  <si>
    <t>Issue #3</t>
  </si>
  <si>
    <t>2) Unamortized Excess ADIT and Tax Normalization Calculation Pursuant to Treas. Reg §1.167(l)-1(h)(6); PLR 9313008; 9202029; 922404; 201717008</t>
  </si>
  <si>
    <t>Value</t>
  </si>
  <si>
    <t>BOY Unamortized Excess Federal Accumulated Deferred Income Taxes</t>
  </si>
  <si>
    <t>17-RegAssets-2 + 17-RegAssets-3, L. 105, Col 24 (zero in 2017 only)</t>
  </si>
  <si>
    <t>EOY Unamortized Excess Federal Accumulated Deferred Income Taxes</t>
  </si>
  <si>
    <t>17-RegAssets-2 + 17-RegAssets-3, L. 110, Col 24</t>
  </si>
  <si>
    <t>Weighted Average ADIT Balance</t>
  </si>
  <si>
    <t>Line 217, Col 8</t>
  </si>
  <si>
    <t>Beginning Deferred Tax Balance (Line 200)</t>
  </si>
  <si>
    <t>Note 1: The monthly deferred tax amounts are equal to the ending ADIT balance minus the beginning ADIT balance, divided by 12 months.</t>
  </si>
  <si>
    <t>Note 2: For January through December = previous month balance plus amount in col 2.</t>
  </si>
  <si>
    <r>
      <t xml:space="preserve">Amortization of (Excess)/Deficient Deferred Federal </t>
    </r>
    <r>
      <rPr>
        <b/>
        <sz val="9.35"/>
        <rFont val="Calibri"/>
        <family val="2"/>
      </rPr>
      <t>and State</t>
    </r>
    <r>
      <rPr>
        <b/>
        <sz val="11"/>
        <rFont val="Calibri"/>
        <family val="2"/>
        <scheme val="minor"/>
      </rPr>
      <t xml:space="preserve"> Income Taxes (Note 1)</t>
    </r>
  </si>
  <si>
    <t>Order 864 Permanent Worksheet(s) Category 1 Information</t>
  </si>
  <si>
    <t>Category 2 Information</t>
  </si>
  <si>
    <t>Category 3 Information</t>
  </si>
  <si>
    <t>Category 5 Information</t>
  </si>
  <si>
    <t>Category 4 Information</t>
  </si>
  <si>
    <t>Col 0</t>
  </si>
  <si>
    <t>Col 15</t>
  </si>
  <si>
    <t>Col 16</t>
  </si>
  <si>
    <t>Col 17</t>
  </si>
  <si>
    <t>Col 18</t>
  </si>
  <si>
    <t>Col 19</t>
  </si>
  <si>
    <t>Col 20</t>
  </si>
  <si>
    <t>Col 21</t>
  </si>
  <si>
    <t>Col 22</t>
  </si>
  <si>
    <t>Col 23</t>
  </si>
  <si>
    <t>Col 24</t>
  </si>
  <si>
    <t>Col 25</t>
  </si>
  <si>
    <t>Col 1 - Col 2</t>
  </si>
  <si>
    <t>Sum Col 5 to Col 7</t>
  </si>
  <si>
    <t>PRIOR PERIOD AMORTIZATION OF EXCESS FEDERAL ACCUMULATED DEFERRED INCOME TAXES</t>
  </si>
  <si>
    <t>Col 5 - Col 10</t>
  </si>
  <si>
    <t>Col 6 - Col 11</t>
  </si>
  <si>
    <t>Col 7 - Col 12</t>
  </si>
  <si>
    <t>Sum Col 14 to Col 16</t>
  </si>
  <si>
    <t>CURRENT PERIOD AMORTIZATION OF EXCESS FEDERAL ACCUMULATED DEFERRED INCOME TAXES</t>
  </si>
  <si>
    <t>Col 14 - Col 18</t>
  </si>
  <si>
    <t>Col 15 - Col 19</t>
  </si>
  <si>
    <t>Col 16 - Col 20</t>
  </si>
  <si>
    <t>Sum Col 21 to Col 23</t>
  </si>
  <si>
    <t>Col 24 x Gross-up</t>
  </si>
  <si>
    <t>Originating</t>
  </si>
  <si>
    <t xml:space="preserve">Originating </t>
  </si>
  <si>
    <t xml:space="preserve">ADIT Balance </t>
  </si>
  <si>
    <t>Remeasurement</t>
  </si>
  <si>
    <t>(Excess)/Deficient ADIT</t>
  </si>
  <si>
    <t>UNAMORTIZED EXCESS FEDERAL ACCUMULATED DEFERRED INCOME TAXES</t>
  </si>
  <si>
    <t>UNAMORTIZED EXCESS FEDERAL ACCUMULATED DEFERRED INCOME TAXES - BEGINNING BALANCE</t>
  </si>
  <si>
    <t>UNAMORTIZED EXCESS FEDERAL ACCUMULATED DEFERRED INCOME TAXES - ENDING BALANCE</t>
  </si>
  <si>
    <t>Excess/Deficient</t>
  </si>
  <si>
    <t>Timing</t>
  </si>
  <si>
    <t>Prior to TCJA</t>
  </si>
  <si>
    <t>ADIT Balance</t>
  </si>
  <si>
    <t>Note F</t>
  </si>
  <si>
    <t>(Excess)/Deficient</t>
  </si>
  <si>
    <t>Beg Bal</t>
  </si>
  <si>
    <t>Expense</t>
  </si>
  <si>
    <t>ADIT Amortization</t>
  </si>
  <si>
    <t>End Bal</t>
  </si>
  <si>
    <t>Including Gross-up of</t>
  </si>
  <si>
    <t>ADIT Recorded</t>
  </si>
  <si>
    <t>Difference</t>
  </si>
  <si>
    <t>@ 35% FIT</t>
  </si>
  <si>
    <t>@ 21% FIT</t>
  </si>
  <si>
    <t xml:space="preserve">PROTECTED </t>
  </si>
  <si>
    <t>UNPROTECTED</t>
  </si>
  <si>
    <t>Period</t>
  </si>
  <si>
    <t>Recorded</t>
  </si>
  <si>
    <t>Acct 182.3 / Acct 254</t>
  </si>
  <si>
    <t>FIXED ASSETS</t>
  </si>
  <si>
    <t>NON FIXED ASSETS</t>
  </si>
  <si>
    <t>TOTALS</t>
  </si>
  <si>
    <t>ARAM/Years</t>
  </si>
  <si>
    <t>Acct 410.1 / Acct 411.1</t>
  </si>
  <si>
    <t>Method Life</t>
  </si>
  <si>
    <t>Note A</t>
  </si>
  <si>
    <t>Acct # 282</t>
  </si>
  <si>
    <t>Acct # 254</t>
  </si>
  <si>
    <t>ARAM</t>
  </si>
  <si>
    <t>Acct # 411.1</t>
  </si>
  <si>
    <t>Note B</t>
  </si>
  <si>
    <t>Fixed Assets Book Tax Basis Differences</t>
  </si>
  <si>
    <t>Note C</t>
  </si>
  <si>
    <t>130 Months (Note G)</t>
  </si>
  <si>
    <t>Non Fixed Assets Book Tax Basis Differences</t>
  </si>
  <si>
    <t>Note D</t>
  </si>
  <si>
    <t>Acct # 190/ # 282</t>
  </si>
  <si>
    <t>Acct # 182.3</t>
  </si>
  <si>
    <t>Acct # 410.1</t>
  </si>
  <si>
    <t>Non Fixed Asset Book Tax Differences</t>
  </si>
  <si>
    <t>Net Operating Loss Carryover</t>
  </si>
  <si>
    <t>Note E</t>
  </si>
  <si>
    <t>Acct # 190</t>
  </si>
  <si>
    <t>Adjustments to December 31, 2017 Amounts</t>
  </si>
  <si>
    <t>Adjustment for Repairs Off-System</t>
  </si>
  <si>
    <t>Acct #</t>
  </si>
  <si>
    <t>Total Including Adjustments</t>
  </si>
  <si>
    <t>Details of ADIT</t>
  </si>
  <si>
    <t xml:space="preserve">  Total Method Life</t>
  </si>
  <si>
    <t>FERC CA Method/Life</t>
  </si>
  <si>
    <t>Includes Cost of Removal</t>
  </si>
  <si>
    <t>FERC Fed Method/Life</t>
  </si>
  <si>
    <t>FERC St Off Method/Life</t>
  </si>
  <si>
    <t>Total Cost of Removal</t>
  </si>
  <si>
    <t xml:space="preserve">  Cost of Removal</t>
  </si>
  <si>
    <t>TBD</t>
  </si>
  <si>
    <t>Total Fixed Assets Book Tax Basis Differences</t>
  </si>
  <si>
    <t>FERC Audit Adjustment</t>
  </si>
  <si>
    <t>FERC Fed 1033 Involuntary Conv</t>
  </si>
  <si>
    <t>FERC Fed 263a F&amp;C 2014</t>
  </si>
  <si>
    <t>FERC Fed 263a F&amp;C Fed</t>
  </si>
  <si>
    <t>FERC Fed AFUDC Equity</t>
  </si>
  <si>
    <t>FERC Fed Audit Adj Bonus</t>
  </si>
  <si>
    <t>FERC Fed Casualty Loss 2008</t>
  </si>
  <si>
    <t>FERC Fed CIAC</t>
  </si>
  <si>
    <t>FERC Fed COR Fed</t>
  </si>
  <si>
    <t>FERC Fed ITC Basis Red</t>
  </si>
  <si>
    <t>FERC Fed Other Book Only</t>
  </si>
  <si>
    <t>FERC Fed Overheads</t>
  </si>
  <si>
    <t>FERC Fed Repair 2014</t>
  </si>
  <si>
    <t>FERC Fed Repair 2014 Fed</t>
  </si>
  <si>
    <t>FERC Fed Repair Allow</t>
  </si>
  <si>
    <t>FERC Fed Repair Fed</t>
  </si>
  <si>
    <t>FERC Fed Software</t>
  </si>
  <si>
    <t>FERC Fed Software CA NO</t>
  </si>
  <si>
    <t>FERC Fed Software FT-</t>
  </si>
  <si>
    <t>FERC Fed TOA Capitalization</t>
  </si>
  <si>
    <t>FERC Fed TOA Capitalization CA Norm</t>
  </si>
  <si>
    <t>FERC Fed TOA Software Other</t>
  </si>
  <si>
    <t>FERC Reg Plant Disallowance</t>
  </si>
  <si>
    <t>FERC St Off 1033 Involuntary Conv</t>
  </si>
  <si>
    <t>FERC St Off 263a F&amp;C 2014</t>
  </si>
  <si>
    <t>FERC St Off 263a F&amp;C CA</t>
  </si>
  <si>
    <t>FERC St Off 263a F&amp;C Fed</t>
  </si>
  <si>
    <t>FERC St Off AFUDC Equity</t>
  </si>
  <si>
    <t>FERC St Off AFUDC Equity CA</t>
  </si>
  <si>
    <t>FERC St Off Audit Adjustment</t>
  </si>
  <si>
    <t>FERC St Off Audit Adjustment CA</t>
  </si>
  <si>
    <t>FERC St Off Casualty Loss 2008</t>
  </si>
  <si>
    <t>FERC St Off CIAC</t>
  </si>
  <si>
    <t>FERC St Off COR Fed</t>
  </si>
  <si>
    <t>FERC St Off ITC Basis Red</t>
  </si>
  <si>
    <t>FERC St Off ITC Basis Red CA</t>
  </si>
  <si>
    <t>FERC St Off Other Book Only</t>
  </si>
  <si>
    <t>FERC St Off Overheads</t>
  </si>
  <si>
    <t>FERC St Off Overheads CA</t>
  </si>
  <si>
    <t>FERC St Off Reg Plant Disallow Fed</t>
  </si>
  <si>
    <t>FERC St Off Repair 2014</t>
  </si>
  <si>
    <t>FERC St Off Repair 2014 CA</t>
  </si>
  <si>
    <t>FERC St Off Repair 2014 Fed</t>
  </si>
  <si>
    <t>FERC St Off Repair Allow</t>
  </si>
  <si>
    <t>FERC St Off Repair Allow CA</t>
  </si>
  <si>
    <t>FERC St Off Repair CA</t>
  </si>
  <si>
    <t>FERC St Off Repair Fed</t>
  </si>
  <si>
    <t>FERC St Off Software</t>
  </si>
  <si>
    <t>FERC St Off Software CA NO</t>
  </si>
  <si>
    <t>FERC St Off Software FT-</t>
  </si>
  <si>
    <t>FERC St Off TOA Capital CA Norm</t>
  </si>
  <si>
    <t>FERC St Off TOA Capitaliz CA</t>
  </si>
  <si>
    <t>FERC St Off TOA Capitalization</t>
  </si>
  <si>
    <t>FERC St Off TOA Other CA</t>
  </si>
  <si>
    <t>FERC St Off TOA Software Other</t>
  </si>
  <si>
    <t>Total Non Fixed Assets Book Tax Basis Differences</t>
  </si>
  <si>
    <t>Vacation Pay Timing Differences</t>
  </si>
  <si>
    <t>130 Months</t>
  </si>
  <si>
    <t>502a</t>
  </si>
  <si>
    <t>Property Tax - Correction of 2017 FERC Form 1 Error</t>
  </si>
  <si>
    <t>FERC Fed AFUDC Debt</t>
  </si>
  <si>
    <t>FERC Fed FAS34 Cap Int</t>
  </si>
  <si>
    <t>FERC Fed Sec 263a Cap Int</t>
  </si>
  <si>
    <t>FERC St Off AFUDC Debt</t>
  </si>
  <si>
    <t>FERC St Off FAS34 Cap Int</t>
  </si>
  <si>
    <t>FERC St Off Sec 263a Cap Int</t>
  </si>
  <si>
    <t>Total Non Fixed Asset Book Tax Differences</t>
  </si>
  <si>
    <t xml:space="preserve">   Net Operating Loss Deferred Taxes</t>
  </si>
  <si>
    <t>FERC Fed 2017 481a Adj</t>
  </si>
  <si>
    <t>FERC Fed 2017 481a Bon Add Back</t>
  </si>
  <si>
    <t>FERC Fed St Off 2017 481a Adj CA</t>
  </si>
  <si>
    <t>This Schedule 17-RegAsset-2 reflects the federal income tax rate change due to the Tax Cuts and Job Act (TCJA).  This Schedule will be replicated for each tax rate change after the TCJA (see 17-RegAsset-3).</t>
  </si>
  <si>
    <t>Reflects the deferred tax liability (DTL) for the difference between book and tax depreciation methods and depreciable lives on plant capitalized for both book and tax.  Method life is a protected timing difference.</t>
  </si>
  <si>
    <t>Reflects the deferred tax asset (DTA) difference between the book accrual and actual spending for cost of removal.</t>
  </si>
  <si>
    <t>Reflects the DTL difference between tax basis deductions and book depreciation on these tax basis deductions.</t>
  </si>
  <si>
    <t>Reflects the DTA difference between non-fixed asset tax deductions and book deductions.</t>
  </si>
  <si>
    <t>Reflects the tax net operating loss DTA.  The net operating loss DTA is protected.</t>
  </si>
  <si>
    <t>Basis for allocation is the 2017 value from Tab 24-Allocators, Rows 17 and 23 for common and direct function groups, respectively.</t>
  </si>
  <si>
    <t>Note G</t>
  </si>
  <si>
    <t>Pursuant to ER17-2154-002 OFFER OF SETTLEMENT AND STIPULATION, Section 2.1.1.</t>
  </si>
  <si>
    <t>Note H</t>
  </si>
  <si>
    <t xml:space="preserve">The “grossed-up” portion from Column 25 is excluded from rate base. </t>
  </si>
  <si>
    <t>Note I</t>
  </si>
  <si>
    <t>The TO19 settlement provided for a base 130-months amortization subject to adjustment per Section 2.2.1.  As a result, the overall amortization period may not be 130-months.  </t>
  </si>
  <si>
    <t>PRIOR PERIOD AMORTIZATION OF (EXCESS)/DEFICIENT FEDERAL ACCUMULATED DEFERRED INCOME TAXES</t>
  </si>
  <si>
    <t>CURRENT PERIOD AMORTIZATION OF (EXCESS)/DEFICIENT FEDERAL ACCUMULATED DEFERRED INCOME TAXES</t>
  </si>
  <si>
    <r>
      <t xml:space="preserve">(Excess)/Deficient </t>
    </r>
    <r>
      <rPr>
        <b/>
        <sz val="9.35"/>
        <rFont val="Calibri"/>
        <family val="2"/>
      </rPr>
      <t>ADIT</t>
    </r>
  </si>
  <si>
    <t>UNAMORTIZED (EXCESS)/DEFICIENT FEDERAL ACCUMULATED DEFERRED INCOME TAXES</t>
  </si>
  <si>
    <t>UNAMORTIZED (EXCESS)/DEFICIENT FEDERAL ACCUMULATED DEFERRED INCOME TAXES - BEGINNING BALANCE</t>
  </si>
  <si>
    <t>UNAMORTIZED (EXCESS)/DEFICIENT FEDERAL ACCUMULATED DEFERRED INCOME TAXES - ENDING BALANCE</t>
  </si>
  <si>
    <r>
      <t xml:space="preserve">Prior to </t>
    </r>
    <r>
      <rPr>
        <b/>
        <strike/>
        <sz val="8.8000000000000007"/>
        <rFont val="Calibri"/>
        <family val="2"/>
      </rPr>
      <t>TCJA</t>
    </r>
  </si>
  <si>
    <r>
      <rPr>
        <b/>
        <sz val="11"/>
        <rFont val="Calibri"/>
        <family val="2"/>
      </rPr>
      <t>Note F</t>
    </r>
    <r>
      <rPr>
        <b/>
        <strike/>
        <sz val="11"/>
        <rFont val="Calibri"/>
        <family val="2"/>
      </rPr>
      <t xml:space="preserve"> 'ADIT</t>
    </r>
  </si>
  <si>
    <r>
      <t xml:space="preserve">@ </t>
    </r>
    <r>
      <rPr>
        <sz val="8.8000000000000007"/>
        <rFont val="Calibri"/>
        <family val="2"/>
      </rPr>
      <t>xx</t>
    </r>
    <r>
      <rPr>
        <sz val="11"/>
        <rFont val="Calibri"/>
        <family val="2"/>
        <scheme val="minor"/>
      </rPr>
      <t>% FIT</t>
    </r>
  </si>
  <si>
    <t>131 Months (Note G)</t>
  </si>
  <si>
    <t>ADIT Item 1</t>
  </si>
  <si>
    <t>Adjustment for Abandoned Plant</t>
  </si>
  <si>
    <t xml:space="preserve">   Net Operating Loss Deferred Taxes - 2018 True Up</t>
  </si>
  <si>
    <t>This Schedule 17-RegAssets-3 will reflect tax rate changes occuring after the TCJA.</t>
  </si>
  <si>
    <t>Relects the deferred tax liability (DTL) for the difference between book and tax depreciation methods and depreciable lives on plant capitalized for both book and tax.  Method life is a protected timing difference.</t>
  </si>
  <si>
    <t>Relects the deferred tax asset (DTA) difference between the book accrual and actual spending for cost of removal.</t>
  </si>
  <si>
    <t>Network Transmission O&amp;M Expense (Line 100, Col 15)</t>
  </si>
  <si>
    <t>Col 3 + Col 4, Note 2</t>
  </si>
  <si>
    <t>Note 1, Note 4</t>
  </si>
  <si>
    <t>Col 3 + Col 6</t>
  </si>
  <si>
    <t>Col 4 + Col 7</t>
  </si>
  <si>
    <t>Col 9 + Col 10</t>
  </si>
  <si>
    <t>Col 9 * Col 12</t>
  </si>
  <si>
    <t>Col 10 * Col 12</t>
  </si>
  <si>
    <t>Col 13 + Col 14</t>
  </si>
  <si>
    <t>FERC Account Description</t>
  </si>
  <si>
    <t xml:space="preserve">FF1 Recorded O&amp;M Expense
 FF1 321, L. 112, col b </t>
  </si>
  <si>
    <t>Recorded Adjusted O&amp;M Expense</t>
  </si>
  <si>
    <t>Network Transmission %</t>
  </si>
  <si>
    <t>Network Transmission O&amp;M Expense</t>
  </si>
  <si>
    <t>Labor</t>
  </si>
  <si>
    <t>Non-Labor</t>
  </si>
  <si>
    <t>Total Transmission O&amp;M</t>
  </si>
  <si>
    <t>Operation Supervision and Engineering</t>
  </si>
  <si>
    <t>Load Dispatch - Reliability</t>
  </si>
  <si>
    <t>Load Dispatch - Monitor and Operate Transmission System</t>
  </si>
  <si>
    <t>Load Dispatch - Transmission Service and Scheduling</t>
  </si>
  <si>
    <t>Scheduling, System Control and Dispatch Services (CAISO GMC)</t>
  </si>
  <si>
    <t>Reliability Planning and Standards Development</t>
  </si>
  <si>
    <t>Transmission Service Studies</t>
  </si>
  <si>
    <t>Generation Interconnection Studies</t>
  </si>
  <si>
    <t>Reliability Planning and Standards Development Services (CAISO GMC)</t>
  </si>
  <si>
    <t>Station Expenses</t>
  </si>
  <si>
    <t>Operation of Energy Storage Equipment</t>
  </si>
  <si>
    <t>Overhead Line Expenses</t>
  </si>
  <si>
    <t>Underground Line Expenses</t>
  </si>
  <si>
    <t>Transmission of Electricity by Others</t>
  </si>
  <si>
    <t>Miscellaneous Transmission Expenses</t>
  </si>
  <si>
    <t>Rents</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</si>
  <si>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</si>
  <si>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</si>
  <si>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</si>
  <si>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</si>
  <si>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</si>
  <si>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</si>
  <si>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</si>
  <si>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Energy Storage Equipment</t>
  </si>
  <si>
    <t>Maintenance of Overhead Lines</t>
  </si>
  <si>
    <t>Maintenance of Underground Lines</t>
  </si>
  <si>
    <t>Maintenance of Miscellaneous Transmission Plant</t>
  </si>
  <si>
    <t>1) Data are extracted from SAP for all costs (broken down into labor and non-labor components) in the Prior Year that are recorded in electric transmission operations and maintenance expense accounts.</t>
  </si>
  <si>
    <t xml:space="preserve">2) The Total FF1 Recorded O&amp;M Expense is the sum of Labor and Non-labor FF1 Recorded O&amp;M Expense (obtained as explained in Note 1) and tie to the amounts provided in FF1 321, L. 112, col b.  </t>
  </si>
  <si>
    <t xml:space="preserve">3) All Accounts other than 565 are allocated using the Network Transmission % in Schedule 24-Allocators, L. 122. All expenses in Account 565 are related to transmission service on High Voltage transmission facilities and are, therefore, 100% network transmission. </t>
  </si>
  <si>
    <t>4) See WP_18-OandM for adjustment details.</t>
  </si>
  <si>
    <t>Prior Year:  2021</t>
  </si>
  <si>
    <t>Input Cells are shaded in gold</t>
  </si>
  <si>
    <t>1)  Calculation of Total Company Adjusted A&amp;G Expense</t>
  </si>
  <si>
    <t>Col 5 = Col 1+Col 3</t>
  </si>
  <si>
    <t>Col 7 = Col 5 - Col 6</t>
  </si>
  <si>
    <t>See Note 11</t>
  </si>
  <si>
    <t>Data</t>
  </si>
  <si>
    <t>FERC Form 2</t>
  </si>
  <si>
    <t xml:space="preserve">Total Company </t>
  </si>
  <si>
    <t>Total Company Adj</t>
  </si>
  <si>
    <t>Acct.</t>
  </si>
  <si>
    <t>Amount Excluded</t>
  </si>
  <si>
    <t>A&amp;G Salaries</t>
  </si>
  <si>
    <t>FF1 323, L. 181, col b</t>
  </si>
  <si>
    <t>FF2 325, L. 254, col b</t>
  </si>
  <si>
    <t>WP_19-AandG 1, L. 106</t>
  </si>
  <si>
    <t>Office Supplies and Expenses</t>
  </si>
  <si>
    <t>FF1 323, L. 182, col b</t>
  </si>
  <si>
    <t>FF2 325, L. 255, col b</t>
  </si>
  <si>
    <t>WP_19-AandG 1, L. 206</t>
  </si>
  <si>
    <t>A&amp;G Expenses Transferred</t>
  </si>
  <si>
    <t>FF1 323, L. 183, col b</t>
  </si>
  <si>
    <t>FF2 325, L. 256, col b</t>
  </si>
  <si>
    <t>WP_19-AandG 1, L. 306</t>
  </si>
  <si>
    <t>Outside Services Employed</t>
  </si>
  <si>
    <t>FF1 323, L. 184, col b</t>
  </si>
  <si>
    <t>FF2 325, L. 257, col b</t>
  </si>
  <si>
    <t>WP_19-AandG 1, L. 406</t>
  </si>
  <si>
    <t>FF1 323, L. 185, col b</t>
  </si>
  <si>
    <t>FF2 325, L. 258, col b</t>
  </si>
  <si>
    <t>WP_19-AandG 1, L. 506</t>
  </si>
  <si>
    <t>FF1 323, L. 186, col b</t>
  </si>
  <si>
    <t>FF2 325, L. 259, col b</t>
  </si>
  <si>
    <t>WP_19-AandG 1, L. 606</t>
  </si>
  <si>
    <t>Employee Pensions and Benefits</t>
  </si>
  <si>
    <t>FF1 323, L. 187, col b</t>
  </si>
  <si>
    <t>FF2 325, L. 260, col b</t>
  </si>
  <si>
    <t>WP_19-AandG 1, L. 706</t>
  </si>
  <si>
    <t>Franchise Requirements</t>
  </si>
  <si>
    <t>FF1 323, L. 188, col b</t>
  </si>
  <si>
    <t>FF2 325, L. 261, col b</t>
  </si>
  <si>
    <t>WP_19-AandG 1, L. 806</t>
  </si>
  <si>
    <t>Regulatory Commission Expenses</t>
  </si>
  <si>
    <t>FF1 323, L. 189, col b</t>
  </si>
  <si>
    <t>FF2 325, L. 262, col b</t>
  </si>
  <si>
    <t>Duplicate Charges</t>
  </si>
  <si>
    <t>FF1 323, L. 190, col b</t>
  </si>
  <si>
    <t>FF2 325, L. 263, col b</t>
  </si>
  <si>
    <t>General Advertising Expense</t>
  </si>
  <si>
    <t>FF1 323, L. 191, col b</t>
  </si>
  <si>
    <t>FF2 325, L. 264, col b</t>
  </si>
  <si>
    <t>WP_19-AandG 1, L. 906</t>
  </si>
  <si>
    <t>Miscellaneous General Expense</t>
  </si>
  <si>
    <t>FF1 323, L. 192, col b</t>
  </si>
  <si>
    <t>FF2 325, L. 265, col b</t>
  </si>
  <si>
    <t>FF1 323, L. 193, col b</t>
  </si>
  <si>
    <t>FF2 325, L. 266, col b</t>
  </si>
  <si>
    <t>Maintenance of General Plant</t>
  </si>
  <si>
    <t>FF1 323, L. 196, col b</t>
  </si>
  <si>
    <t>FF2 325, L. 269, col b</t>
  </si>
  <si>
    <t>WP_19-AandG 1, L. 1006</t>
  </si>
  <si>
    <t>Total A&amp;G Expenses:</t>
  </si>
  <si>
    <t>FF1 323, L. 197, col b</t>
  </si>
  <si>
    <t>FF2 325, L. 270, col b</t>
  </si>
  <si>
    <t>2)  Calculation of Network Transmission A&amp;G Expense</t>
  </si>
  <si>
    <t>Based on Labor Factors</t>
  </si>
  <si>
    <t>A&amp;G Expense after Adjustments</t>
  </si>
  <si>
    <t>Line 118, col 7</t>
  </si>
  <si>
    <t>Less Account  924 Property Insurance nonnuclear:</t>
  </si>
  <si>
    <t>Line 108, col 7</t>
  </si>
  <si>
    <t>Less General Liability and Third Party Claims</t>
  </si>
  <si>
    <t>WP_19-AandG 2, L. 102</t>
  </si>
  <si>
    <t>Total A&amp;G Expense Applicable to the O&amp;M Labor Allocation Factor:</t>
  </si>
  <si>
    <t>Line 202 - (Line 203 - Line 206)</t>
  </si>
  <si>
    <t>Electric O&amp;M Labor Allocation Factor:</t>
  </si>
  <si>
    <t>24-Allocators, L. 109</t>
  </si>
  <si>
    <t>Total Electric Portion of A&amp;G From Labor</t>
  </si>
  <si>
    <t>Transmission as a Percent of Electric O&amp;M Labor Allocation Factor:</t>
  </si>
  <si>
    <t>Transmission Portion of A&amp;G from Labor Allocation Factors:</t>
  </si>
  <si>
    <t>Based on Yearend Plant</t>
  </si>
  <si>
    <t>Network Transmission Plant Allocation Factor as a percent of Total Electric Plant:</t>
  </si>
  <si>
    <t>24-Allocators, L. 119</t>
  </si>
  <si>
    <t>Account 924 Property Insurance nonnuclear:</t>
  </si>
  <si>
    <t>Line 203</t>
  </si>
  <si>
    <t>Transmission Portion of Property Insurance Account 924</t>
  </si>
  <si>
    <t>Line 213 * Line 214</t>
  </si>
  <si>
    <t>Based on Blended Labor and Plant Factor</t>
  </si>
  <si>
    <t>General Liability Accrued Insurance and Paid Injuries and Damages:</t>
  </si>
  <si>
    <t>Line 204</t>
  </si>
  <si>
    <t>Total Electric Factor using the combined O&amp;M Labor and Plant Factor:</t>
  </si>
  <si>
    <t>24-Allocators, L. 136</t>
  </si>
  <si>
    <t>Transmission Portion of General Liability Insurance and Injuries and Damages:</t>
  </si>
  <si>
    <t>Line 217 * Line 218</t>
  </si>
  <si>
    <t>Total Transmission Portion of Administrative and General Expenses:</t>
  </si>
  <si>
    <t>Line 209 + Line 213 + Line 217</t>
  </si>
  <si>
    <t>STIP Adjustment pursuant to TO20 Settlement Agreement (Docket No. ER19-13-000)</t>
  </si>
  <si>
    <t>WP_19-AandG 3, L. 220</t>
  </si>
  <si>
    <t>Line 221 + Line 222</t>
  </si>
  <si>
    <t>3)  Summary of Total Company Adjustments</t>
  </si>
  <si>
    <t xml:space="preserve">Total by FERC Account </t>
  </si>
  <si>
    <t>STIP</t>
  </si>
  <si>
    <t>Officer Compensation</t>
  </si>
  <si>
    <t>Accrual to Cash Basis</t>
  </si>
  <si>
    <t>Not Seeking Recovery</t>
  </si>
  <si>
    <t>Non A&amp;G Costs and Other</t>
  </si>
  <si>
    <t>NP&amp;S</t>
  </si>
  <si>
    <t>Allocations on Adjustments</t>
  </si>
  <si>
    <t>Capital Credit Allocation Adjustments to FERC Form 1</t>
  </si>
  <si>
    <t>Total by Adjustment Type</t>
  </si>
  <si>
    <t xml:space="preserve">The adjustments shown in the Table above are from WP_19-AandG.  Sources of adjustments are individual SAP reports by FERC account with detailed descriptions of activity and accounting information.  </t>
  </si>
  <si>
    <t>FERC Forms 1 balances in accounts 928, 929 and 931 are zero; therefore, these accounts are not shown on WP_19-AandG.</t>
  </si>
  <si>
    <t>Remove Officer STIP and STIP for one Director.</t>
  </si>
  <si>
    <t>Remove Officer compensation pursuant to CPUC Resolution E-4963 (Dec. 14, 2018).</t>
  </si>
  <si>
    <t>Adjust funded plans for PBOPs medical and life, LTD and pension from an accrual to cash basis to the cash contributions to the trust.</t>
  </si>
  <si>
    <t>Remove costs PG&amp;E does not seek to recover in TO, such as Intervenor Compensation, MCI Exchange Rights, a portion of Injuries and Damages,  and Nuclear Property and Nuclear Liability Liability Insurance.</t>
  </si>
  <si>
    <t>Remove Non A&amp;G Costs and other costs, for example Gas LOB costs erroneously recorded in A&amp;G FERC Accounts, Franchise Fee Expense that is a caclulation within the Model and amounts recovered separately through CPUC proceedings and balancing/memorandum accounts.</t>
  </si>
  <si>
    <t>Remove labor and benefits associated with NP&amp;S activities.</t>
  </si>
  <si>
    <t>Remove capital and below-the-line adjustments as appropriate associated with regulatory adjustments described in Notes 3 through 8.</t>
  </si>
  <si>
    <t>Total by FERC account</t>
  </si>
  <si>
    <t>Pursuant to the TO20 Settlement agreement in FERC Docket ER19-13-000, beginning with Rate Year 2022 the FERC Form 2 column will be blank because PG&amp;E will base it’s A&amp;G cost request solely on the FERC Form 1.  Therefore, beginning with Rate Year 2022, the following data will be updated as follows:
(1) Line 206: the Electric O&amp;M Labor Allocation Factor will be 100%;
(2) Line 211: the Network Transmission Plant Allocation Factor as a percent of Total Company will be updated as Network Electric Transmission Plant as a % of Total Electric Plant (24-Allocators, Line 119);
(3) Line 216: the Factor using the combined O&amp;M Labor and Plant Factor will be updated to use 24-Allocators, Line 136.</t>
  </si>
  <si>
    <t xml:space="preserve">Adjustments on the FERC Form to reclassify year 2021 capital credit amounts recorded to the wrong FERC accounts.  On a total Company basis, the recorded capital credit amount is correct; however, the amounts recorded to certain FERC accounts were incorrect.  This reclassification adjustment re-aligns the capital credit with the correct FERC accounts. </t>
  </si>
  <si>
    <t>1) Insert additional lines as necessary for additional items.</t>
  </si>
  <si>
    <t>Col 5 + Col 6</t>
  </si>
  <si>
    <t>FERC ACCT</t>
  </si>
  <si>
    <t>NATURAL ACCT</t>
  </si>
  <si>
    <t>ACCT DESCRIPTION</t>
  </si>
  <si>
    <t xml:space="preserve">Total Electric </t>
  </si>
  <si>
    <t>Network ET - High Voltage</t>
  </si>
  <si>
    <t>Network ET - Low Voltage</t>
  </si>
  <si>
    <t>Total Network ET</t>
  </si>
  <si>
    <t xml:space="preserve">NP&amp;S Transmission </t>
  </si>
  <si>
    <t>Sum Lines 201, 301, 401, 501, 601</t>
  </si>
  <si>
    <t>Forfeited Discounts</t>
  </si>
  <si>
    <t>FF1 300, L. 16, col b</t>
  </si>
  <si>
    <t>Acct 450 Total</t>
  </si>
  <si>
    <t>Miscellaneous Service Revenues</t>
  </si>
  <si>
    <t>FF1 300, L. 17, col b</t>
  </si>
  <si>
    <t>Acct 451 Total</t>
  </si>
  <si>
    <t>NRD Revenue Other</t>
  </si>
  <si>
    <t>Miscellaneous Service Electric Customer Fund Management - RES</t>
  </si>
  <si>
    <t>Miscellaneous Service Electric Customer Fund Management Non-RES</t>
  </si>
  <si>
    <t>Miscellaneous Service Revenues - Reimbursable</t>
  </si>
  <si>
    <t>Sales of Water and Water Power</t>
  </si>
  <si>
    <t>FF1 300, L. 18, col b</t>
  </si>
  <si>
    <t>Acct 453 Total</t>
  </si>
  <si>
    <t xml:space="preserve"> . . .</t>
  </si>
  <si>
    <t>FF1 300, L.19, col b</t>
  </si>
  <si>
    <t>Acct 454 Total</t>
  </si>
  <si>
    <t>Rent from Electric Property</t>
  </si>
  <si>
    <t>Note 2, 3</t>
  </si>
  <si>
    <t>New Revenue Development Rent</t>
  </si>
  <si>
    <t>New Revenue Development Fee Revenue</t>
  </si>
  <si>
    <t>Other Electric Revenue</t>
  </si>
  <si>
    <t>FF1 300, L. 21-22, col b</t>
  </si>
  <si>
    <t>Acct 456 Total</t>
  </si>
  <si>
    <t>Other Electric Revenues</t>
  </si>
  <si>
    <t>MCI Rights-of-Way (B)</t>
  </si>
  <si>
    <t>Recreation Facilities Revenue</t>
  </si>
  <si>
    <t>Timber Sales - Utility</t>
  </si>
  <si>
    <t>Other Revenue - Affiliate</t>
  </si>
  <si>
    <t>Revenue Damage Claims Electric</t>
  </si>
  <si>
    <t>Mobile Home Park Electric</t>
  </si>
  <si>
    <t>NEBS TCRA</t>
  </si>
  <si>
    <t>New Revenue Development - Electric Revenue</t>
  </si>
  <si>
    <t>Unbilled Electric Revenue</t>
  </si>
  <si>
    <t>Reimbursed Electric Revenue</t>
  </si>
  <si>
    <t>Note 2, 4</t>
  </si>
  <si>
    <t>Reimbursed Electric Revenue Joint Poles</t>
  </si>
  <si>
    <t>Reimbursed Electric Revenue Customer Care and Billing (CC&amp;B)</t>
  </si>
  <si>
    <t>Other Electric Revenue - Calif Department of Water &amp; Resources (DWR)</t>
  </si>
  <si>
    <t>Reimbursed Electric Revenue - CPUC</t>
  </si>
  <si>
    <t>Other Utility Operating Income</t>
  </si>
  <si>
    <t>Other Transmission Revenue - Wheeling</t>
  </si>
  <si>
    <t>Note 2, 5</t>
  </si>
  <si>
    <t>1) Immaterial reconciling difference.</t>
  </si>
  <si>
    <t>2) Run a query of col 2 (Natural Account) in SAP system to get col 4 and col 8.</t>
  </si>
  <si>
    <t>3) Run a query of rent in SAP system to get Line 502, col 5-6.</t>
  </si>
  <si>
    <t>4) Apply plant allocation factors after running a query of Natural Account in SAP system to get Line 612, col 5-6.</t>
  </si>
  <si>
    <t>5) See FF1 330, col n, Total</t>
  </si>
  <si>
    <t>Total NP&amp;S Electric Transmission Revenues and Expenses</t>
  </si>
  <si>
    <t>NP&amp;S Transmission Revenue</t>
  </si>
  <si>
    <t>20-RevenueCredits, L. 100, col 8</t>
  </si>
  <si>
    <t>NP&amp;S Transmission O&amp;M Expense</t>
  </si>
  <si>
    <t>WP-NPandS_RY2023 2, Line 100, col 1</t>
  </si>
  <si>
    <t>NP&amp;S Transmission A&amp;G Expense</t>
  </si>
  <si>
    <t>WP-NPandS_RY2023 2, Line 100, col 2</t>
  </si>
  <si>
    <t>Total NP&amp;S Transmission Expense</t>
  </si>
  <si>
    <t>Transmission Revenues and Expenses by Product Line</t>
  </si>
  <si>
    <t>Adjusted</t>
  </si>
  <si>
    <t>Product Line</t>
  </si>
  <si>
    <t>Net Revenues</t>
  </si>
  <si>
    <t>Wireline</t>
  </si>
  <si>
    <t>Wireless</t>
  </si>
  <si>
    <t>Land Use</t>
  </si>
  <si>
    <t>Technology &amp; Licenses</t>
  </si>
  <si>
    <t>Maintenance &amp; Consulting</t>
  </si>
  <si>
    <t>SBA Amortization</t>
  </si>
  <si>
    <t>Calculation of Pre-tax Revenue Allocation %</t>
  </si>
  <si>
    <t>PTNR (Pre-tax net revenue)</t>
  </si>
  <si>
    <t>t = Composite state &amp; federal tax rate</t>
  </si>
  <si>
    <t>k = The ratio of customer to shareholder after tax net revenues.</t>
  </si>
  <si>
    <t>50%/50% = 1</t>
  </si>
  <si>
    <t>PSA% (Pre-Tax Shareholder Percent of Net Revenues) = 1 / (1 + k - kt)</t>
  </si>
  <si>
    <t xml:space="preserve">CRC% (Customer Revenue Credit Percent of Net Revenues) = 1 - [1 / (1+ k - kt)]                   </t>
  </si>
  <si>
    <t>Calculation of 50/50 After-Tax Sharing</t>
  </si>
  <si>
    <t>Pre-tax Shareholder Allocation (PSA$) = PTNR * PSA%</t>
  </si>
  <si>
    <t>State and Federal taxes = PSA$ * t</t>
  </si>
  <si>
    <t>Shareholder Allocation</t>
  </si>
  <si>
    <t>Customer Revenue Credit (CRC$) = PTNR * CRC%</t>
  </si>
  <si>
    <t>1) Please see WP_21-NPS 1 for Revenues by Product Line.</t>
  </si>
  <si>
    <t>1) Please see WP_21-NPS 2 for Expenses by Product Line.</t>
  </si>
  <si>
    <t>3) Product Lines with negative Net Revenues are set to zero.</t>
  </si>
  <si>
    <t>1) Tax Rates for the Rate Year</t>
  </si>
  <si>
    <t>Internal Revenue Code (IRC) Section 11</t>
  </si>
  <si>
    <t>State Franchise Tax Rate (California)</t>
  </si>
  <si>
    <t>California Rev. &amp; Tax. Cd. § 23151</t>
  </si>
  <si>
    <t>Federal Secondary</t>
  </si>
  <si>
    <t>Negative Line 100 * Line 101</t>
  </si>
  <si>
    <t>Reflects the federal tax deduction for state taxes which reduces the composite income tax rate</t>
  </si>
  <si>
    <t>Composite Income Tax Rate</t>
  </si>
  <si>
    <t>Sum of Lines 100-Line 102</t>
  </si>
  <si>
    <t>2)Tax Rates for the Prior Year True-up</t>
  </si>
  <si>
    <t>1) Accumulated Deferred Income Taxes</t>
  </si>
  <si>
    <t>Values for Inputs to Sch.1-BaseTRR</t>
  </si>
  <si>
    <t>Values for Inputs to Sch.3-True-upTRR</t>
  </si>
  <si>
    <t>End of Year Accumulated Deferred Income Taxes</t>
  </si>
  <si>
    <t>WP_23-RetailSGTax 3</t>
  </si>
  <si>
    <t>Beginning of Year Accumulated Deferred Income Taxes</t>
  </si>
  <si>
    <t>Average of BOY and EOY Accumulated Deferred Income Taxes</t>
  </si>
  <si>
    <t>2) Income Taxes</t>
  </si>
  <si>
    <t>Income Taxes = [((RB * ER) + FPD) * (CTR/(1 – CTR))]  + CO/(1 – CTR)]</t>
  </si>
  <si>
    <t>3) ROE and Capitalization Calculations</t>
  </si>
  <si>
    <t>For Inputs to Sch.1-BaseTRR</t>
  </si>
  <si>
    <t>For Inputs to Sch.3-True-upTRR</t>
  </si>
  <si>
    <t>1-BaseTRR, L. 216</t>
  </si>
  <si>
    <t>1-BaseTRR, L. 217</t>
  </si>
  <si>
    <t>1-BaseTRR, L. 218</t>
  </si>
  <si>
    <t>Total South Georgia Adjustment</t>
  </si>
  <si>
    <t>4) Tax Normalization Calculation Pursuant to Treas. Reg §1.167(l)-1(h)(6); PLR 9313008; 9202029; 922404; 201717008</t>
  </si>
  <si>
    <t>See Note 4</t>
  </si>
  <si>
    <t>See Note 5</t>
  </si>
  <si>
    <t>Col 6 / Tot. Days</t>
  </si>
  <si>
    <t>= Col 3 * Col 7</t>
  </si>
  <si>
    <t>Col 9 Prior Mth + Col 8 Current Mth</t>
  </si>
  <si>
    <t>Beginning Deferred Tax Balance (Line 101)</t>
  </si>
  <si>
    <t>Ending Balance (Line 100)</t>
  </si>
  <si>
    <t>1) The Source of the End of Year Accumulated Deferred Income Taxes can be found in the Purple Shaded area of WP_23-RetailSGTax 3</t>
  </si>
  <si>
    <t>2) The Source of the Beginning of Year Accumulated Deferred Income Taxes can be found in the Orange Shaded area of WP_23-RetailSGTax 3</t>
  </si>
  <si>
    <t>3) The Source of the Credits and Other can be found in the Green Shaded area of WP_23-RetailSGTax 3</t>
  </si>
  <si>
    <t>4) The monthly deferred tax amounts are equal to the ending ADIT balance minus the beginning ADIT balance, divided by 12 months.</t>
  </si>
  <si>
    <t>5) For January through December = previous month balance plus amount in Col 3.</t>
  </si>
  <si>
    <t>Calculation of Prior Year Total Electric Department Labor Allocation Factor</t>
  </si>
  <si>
    <t>Total Company Wages and Salaries</t>
  </si>
  <si>
    <t>FF1 355, L. 65, col b</t>
  </si>
  <si>
    <t xml:space="preserve">Electric A&amp;G Wages and Salaries </t>
  </si>
  <si>
    <t>FF1 354, L. 27, col b</t>
  </si>
  <si>
    <t>Gas A&amp;G Wages and Salaries</t>
  </si>
  <si>
    <t>FF1 355, L. 61, col b</t>
  </si>
  <si>
    <t>Cost Adjustment</t>
  </si>
  <si>
    <t>WP_24-Allocators_Labor, L. 100, col 3</t>
  </si>
  <si>
    <t>Total Company Wages and Salaries w/o A&amp;G</t>
  </si>
  <si>
    <t>(Line 100 + Line 103) - (Line 101 + Line 102)</t>
  </si>
  <si>
    <t>Total Electric Department Wages and Salaries</t>
  </si>
  <si>
    <t>FF1 354, L. 28, col b</t>
  </si>
  <si>
    <t>Electric A&amp;G Wages and Salaries</t>
  </si>
  <si>
    <t>WP_24-Allocators_Labor, L. 100, col 5</t>
  </si>
  <si>
    <t>Total Adjusted Electric Wages and Salaries wo A&amp;G</t>
  </si>
  <si>
    <t>Total Electric Department Labor as a % of Total Company Labor</t>
  </si>
  <si>
    <t>Calculation of Prior Year Network Electric Transmission Labor Allocation Factors</t>
  </si>
  <si>
    <t>Network Electric Transmission Wages and Salaries</t>
  </si>
  <si>
    <t>18-OandM, L. 100, col 13</t>
  </si>
  <si>
    <t>Network Electric Transmission Labor as a % of Total Electric Allocation Factor</t>
  </si>
  <si>
    <t>Network Electric Transmission Labor as a % of Total Company Allocation Factor</t>
  </si>
  <si>
    <t>Calculation of Prior Year Transmission Plant Allocation Factor</t>
  </si>
  <si>
    <t>Network Electric Transmission Gross Plant In Service including CGI Plant</t>
  </si>
  <si>
    <t>7-PlantInService, L. 112, col 13 + 7-PlantInService, L. 701, col 1</t>
  </si>
  <si>
    <t>Prior Year Dec</t>
  </si>
  <si>
    <t>Total PG&amp;E Company Gross Plant In Service</t>
  </si>
  <si>
    <t>WP_7-PlantInService 7, L. 148, Col 10</t>
  </si>
  <si>
    <t>Network Electric Transmission Plant as a % of Total Company Plant</t>
  </si>
  <si>
    <t>Total PG&amp;E Electric Plant In Service including CGI Plant</t>
  </si>
  <si>
    <t>WP_7-PlantInService 7, L. 148, Col 8</t>
  </si>
  <si>
    <t>Network Electric Transmission Plant as a % of Total Electric Plant</t>
  </si>
  <si>
    <t>Network Electric Transmission Plant - Functional Plant only</t>
  </si>
  <si>
    <t>Total Electric Transmission  - Functional Plant only</t>
  </si>
  <si>
    <t>6-PlantJurisdiction, L. 110, col 1 + col 3</t>
  </si>
  <si>
    <t>Network Electric Transmission as a % of Total Electric Transmission</t>
  </si>
  <si>
    <t>Calculation of Prior Year High Voltage/Low Voltage Transmission Plant Allocation Factor</t>
  </si>
  <si>
    <t>7-PlantInService, L. 212, col 13</t>
  </si>
  <si>
    <t>7-PlantInService, L. 312, col 13</t>
  </si>
  <si>
    <t>Allocation Factor to High Voltage</t>
  </si>
  <si>
    <t>Allocation Factor to Low Voltage</t>
  </si>
  <si>
    <t>Calculation of Rate Year High Voltage/Low Voltage Electric Transmission Plant Allocation Factor</t>
  </si>
  <si>
    <t>High Voltage Capital Additions</t>
  </si>
  <si>
    <t>9-PlantAdditions, L. 223, col 2</t>
  </si>
  <si>
    <t>Rate Year Dec</t>
  </si>
  <si>
    <t>Low Voltage Capital Additions</t>
  </si>
  <si>
    <t>9-PlantAdditions, L. 323, col 2</t>
  </si>
  <si>
    <t>High Voltage Rate Year Functional Plant</t>
  </si>
  <si>
    <t>Low Voltage Rate Year Functional Plant</t>
  </si>
  <si>
    <t>Network Electric Transmission Rate Year Functional Plant</t>
  </si>
  <si>
    <t>Calculation of Prior Year Liability Insurance Allocation Factor</t>
  </si>
  <si>
    <t>Network Electric Transmisison as a % of Total Company Liability Insurance Allocation Factor (60% Labor/40% Plant)</t>
  </si>
  <si>
    <t>Network Electric Transmission as a % of Total Electric Liability Insurance Allocation Factor (60% Labor/40% Plant)</t>
  </si>
  <si>
    <t>Calculation of Prior Year Property Tax Allocation Factor</t>
  </si>
  <si>
    <t>Network Electric Transmission Accumulated Depreciation including CGI</t>
  </si>
  <si>
    <t>10-AccDep, L. 112, col 13 + 10-AccDep, L. 701, col 1</t>
  </si>
  <si>
    <t>Total PG&amp;E Electric Accumulated Depreciation including CGI</t>
  </si>
  <si>
    <t>WP_10-AccDep 6, L. 148, Col 8</t>
  </si>
  <si>
    <t>Network Electric Transmission Net Plant in Service (Functional + CGI)</t>
  </si>
  <si>
    <t>Line 117 - Line 137</t>
  </si>
  <si>
    <t>Total PG&amp;E Electric Net Plant In Service (Functional + CGI)</t>
  </si>
  <si>
    <t>Line 118 - Line 138</t>
  </si>
  <si>
    <t>Net Plant Property Tax Allocation Factor</t>
  </si>
  <si>
    <t>Line 139 / Line 140</t>
  </si>
  <si>
    <t>1) Approved Franchise Fee Factor(s)</t>
  </si>
  <si>
    <t>From</t>
  </si>
  <si>
    <t>To</t>
  </si>
  <si>
    <t>Days in Prior Year</t>
  </si>
  <si>
    <t>Franchise Fee Factor</t>
  </si>
  <si>
    <t>Present</t>
  </si>
  <si>
    <t>WP_25-RFandUFactors 1, L. 102</t>
  </si>
  <si>
    <t>2) Approved San Francisco Gross Receipts Tax Factor(s)</t>
  </si>
  <si>
    <t>WP_25-RFandUFactors 2, L. 104</t>
  </si>
  <si>
    <t>3) Approved Uncollectible Factor(s)</t>
  </si>
  <si>
    <t>Uncollectible Factor</t>
  </si>
  <si>
    <t>WP_25-RFandUFactors 3, L. 110</t>
  </si>
  <si>
    <t>4) Calculation of Weighted Average RF&amp;U Factors</t>
  </si>
  <si>
    <t>Rate Year HV</t>
  </si>
  <si>
    <t>Rate Year LV</t>
  </si>
  <si>
    <t xml:space="preserve"> Plant Allocator</t>
  </si>
  <si>
    <t>24-Allocators, L. 133 and 134</t>
  </si>
  <si>
    <t>7-PlantInService, L. 212 and 312, col 13</t>
  </si>
  <si>
    <t>7-PlantInService, L. 701, col 2 and col 3</t>
  </si>
  <si>
    <t>8-AbandonedPlant, Col 11, Lines 100 and 101</t>
  </si>
  <si>
    <t>13-WorkCap, L. 112, col 3 and col 4</t>
  </si>
  <si>
    <t>Line 1 * 13-WorkCap, L. 217, col 5</t>
  </si>
  <si>
    <t>10-AccDep, L. 212 and L. 312, col 13</t>
  </si>
  <si>
    <t>10-AccDep, L. 701 , col 2 and col 3</t>
  </si>
  <si>
    <t>Line 1 * 1-BaseTRR, L. 111c</t>
  </si>
  <si>
    <t>Line 1 * 1-BaseTRR, L. 112</t>
  </si>
  <si>
    <t>Accrued Vacation</t>
  </si>
  <si>
    <t>Line 1 * 1-BaseTRR, L. 113</t>
  </si>
  <si>
    <t>Line 1 * 1-BaseTRR, L. 114</t>
  </si>
  <si>
    <t>Prior Year Transmission Revenue Requirement</t>
  </si>
  <si>
    <t>(Line 1 * (18-OandM, L. 100  - L. 114, col 15) + 18-OandM, L. 114, col 15), Line 1 * (18-OandM, L.100  - L. 114, col 15)</t>
  </si>
  <si>
    <t>Line 1 * 1-BaseTRR, L. 501</t>
  </si>
  <si>
    <t>Line 1 * 1-BaseTRR, L. 502</t>
  </si>
  <si>
    <t>11-Depreciation, (L. 100, col 13 + L. 500, col 2), (L. 101, col 13 + L. 500, Col 3)</t>
  </si>
  <si>
    <t>Depreciation rate adjustment</t>
  </si>
  <si>
    <t>Line 1 * 1-BaseTRR, L. 504</t>
  </si>
  <si>
    <t>8-AbandonedPlant, Col 7, Lines 100 and 101</t>
  </si>
  <si>
    <t>(Line 115 * 1-BaseTRR, L. 219) - (1-BaseTRR, L. 221 * 8-AbandonedPlant, L. 100 and L. 101, col 11)</t>
  </si>
  <si>
    <t>Line 1 * 1-BaseTRR, L. 507</t>
  </si>
  <si>
    <t>Line 1 * 1-BaseTRR, L. 508</t>
  </si>
  <si>
    <t>20-RevenueCredits, L. 100, col 5 and col 6</t>
  </si>
  <si>
    <t>Line 1 * 1-BaseTRR, L. 510</t>
  </si>
  <si>
    <t>Line 1 * 1-BaseTRR, L. 511</t>
  </si>
  <si>
    <t>Line 212 * (1-BaseTRR, L. 513 + L. 514)</t>
  </si>
  <si>
    <t>Line 1 * 1-BaseTRR, L. 601</t>
  </si>
  <si>
    <t>True-up Adjustment</t>
  </si>
  <si>
    <t>Line 1 * 1-BaseTRR, L. 602</t>
  </si>
  <si>
    <t>Wholesale Base TRRs</t>
  </si>
  <si>
    <t>Wholesale TRBAA</t>
  </si>
  <si>
    <t>ER22-2986-000</t>
  </si>
  <si>
    <t>Standby Revenue Credit</t>
  </si>
  <si>
    <t>Negative, Line 1 * (29-RetailRates-1, L. 118, col (A) * 50%</t>
  </si>
  <si>
    <t>Total Wholesale TRRs</t>
  </si>
  <si>
    <t>Calculation of High Voltage Access Charge</t>
  </si>
  <si>
    <t>High Voltage TRR</t>
  </si>
  <si>
    <t>26-WholesaleTRRs, L. 219, col 1</t>
  </si>
  <si>
    <t>Gross Load (MWh)</t>
  </si>
  <si>
    <t>High Voltage Access Charge ($/MWh)</t>
  </si>
  <si>
    <t>Calculation of Low Voltage Access Charge</t>
  </si>
  <si>
    <t>Low Voltage TRR</t>
  </si>
  <si>
    <t>26-WholesaleTRRs, L. 219, col 2</t>
  </si>
  <si>
    <t>Low Voltage Access Charge ($/MWh)</t>
  </si>
  <si>
    <t xml:space="preserve">1) Input the gross load data and loss factor from the Gross Load Workpapers. </t>
  </si>
  <si>
    <t>Energy at generator (kWh)</t>
  </si>
  <si>
    <t>WP_28-GrossLoad 1, L. 102, col 2</t>
  </si>
  <si>
    <t>Energy loss factor area out</t>
  </si>
  <si>
    <t>WP_28-GrossLoad 7, L. 102, col 4</t>
  </si>
  <si>
    <t>Retail energy at local (area out) (kWh)</t>
  </si>
  <si>
    <t>Helms Pumped Storage: Pumping Load (10 Yr Avg) (kWh)</t>
  </si>
  <si>
    <t>WP_28-GrossLoad 6, L. 110</t>
  </si>
  <si>
    <t>Gross Load at Area Out (kWh)</t>
  </si>
  <si>
    <t>Current Year for Forecast Billing Determinants</t>
  </si>
  <si>
    <t>Rate Design</t>
  </si>
  <si>
    <t>5 Yr. Historical Avg. Data for 12-CP Allocation of TRR to Customer Class</t>
  </si>
  <si>
    <t>= col 1/col 2</t>
  </si>
  <si>
    <t>= col 1/col 4</t>
  </si>
  <si>
    <t>Adjusted 12-CP</t>
  </si>
  <si>
    <t>Forecast Billing</t>
  </si>
  <si>
    <t>Billing</t>
  </si>
  <si>
    <t>Annual Sales</t>
  </si>
  <si>
    <t>Average Rate</t>
  </si>
  <si>
    <t>Code</t>
  </si>
  <si>
    <t>Class Name</t>
  </si>
  <si>
    <t>Cost Allocation</t>
  </si>
  <si>
    <t>Determinants</t>
  </si>
  <si>
    <t>Units</t>
  </si>
  <si>
    <t>Rate</t>
  </si>
  <si>
    <t>(kWh)</t>
  </si>
  <si>
    <t>($/kWh)</t>
  </si>
  <si>
    <t>RES-</t>
  </si>
  <si>
    <t>Residential</t>
  </si>
  <si>
    <t>kWh</t>
  </si>
  <si>
    <t>/kWh</t>
  </si>
  <si>
    <t xml:space="preserve"> </t>
  </si>
  <si>
    <t>A1-</t>
  </si>
  <si>
    <t>Small L&amp;P</t>
  </si>
  <si>
    <t>A10-</t>
  </si>
  <si>
    <t>Medium L&amp;P</t>
  </si>
  <si>
    <t>kW-mo</t>
  </si>
  <si>
    <t>E19-</t>
  </si>
  <si>
    <t>At Transmission</t>
  </si>
  <si>
    <t>At Primary</t>
  </si>
  <si>
    <t>At Secondary</t>
  </si>
  <si>
    <t>Medium Light and Power</t>
  </si>
  <si>
    <t>/kW-mo</t>
  </si>
  <si>
    <t>STL-</t>
  </si>
  <si>
    <t>Streetlights</t>
  </si>
  <si>
    <t>AGA-</t>
  </si>
  <si>
    <t>AG: A Schedules</t>
  </si>
  <si>
    <t>AGB-</t>
  </si>
  <si>
    <t>AG: B Schedules</t>
  </si>
  <si>
    <t>Agriculture</t>
  </si>
  <si>
    <t>E20-</t>
  </si>
  <si>
    <t>Schedule E-20</t>
  </si>
  <si>
    <t>STB-</t>
  </si>
  <si>
    <t>50% Volumetric Charge</t>
  </si>
  <si>
    <t>50% Reservation Charge</t>
  </si>
  <si>
    <t>/.85*kW-mo</t>
  </si>
  <si>
    <t>Standby Service</t>
  </si>
  <si>
    <t>Rate Design:</t>
  </si>
  <si>
    <t>1) Adjusted 12-CP Cost Allocations are from 29-RetailRates-2, col 8.</t>
  </si>
  <si>
    <t>2) Forecast kWh Billing Determinates are from 29-RetailRates-2, col 2.  Forecast kW-mo. Billing Determinants are detailed in WP_29-RetailRates 8 (A-10, E-19, E-20 and Standby Reservation).</t>
  </si>
  <si>
    <t>3) Forecast kWh Annual Sales are from 29-RetailRates-2, col 2.</t>
  </si>
  <si>
    <t>Rate Design Calculations Based on 12-CP Method</t>
  </si>
  <si>
    <t>Yr. Historical Avg.</t>
  </si>
  <si>
    <t>= (col 2/col 1) * col 3</t>
  </si>
  <si>
    <t>= col 4 * col 5</t>
  </si>
  <si>
    <t>= col 6/ sum col 6</t>
  </si>
  <si>
    <t>Adjusted Cost</t>
  </si>
  <si>
    <t>= col 7 * TRR</t>
  </si>
  <si>
    <t>Recorded Avg.</t>
  </si>
  <si>
    <t>Forecast</t>
  </si>
  <si>
    <t>Coincident Demands</t>
  </si>
  <si>
    <t>Demand</t>
  </si>
  <si>
    <t>Percent of</t>
  </si>
  <si>
    <t>Alloc. Factors</t>
  </si>
  <si>
    <t>5-Year Historical</t>
  </si>
  <si>
    <t>Sales</t>
  </si>
  <si>
    <t>Loss</t>
  </si>
  <si>
    <t>(adjusted for losses)</t>
  </si>
  <si>
    <t>Coin. Peak</t>
  </si>
  <si>
    <t>(w/standby)</t>
  </si>
  <si>
    <t>(kW)</t>
  </si>
  <si>
    <t>Factors</t>
  </si>
  <si>
    <t>(w/losses)</t>
  </si>
  <si>
    <t>scale to 100%</t>
  </si>
  <si>
    <t>($)</t>
  </si>
  <si>
    <t>MARL Sales:</t>
  </si>
  <si>
    <t xml:space="preserve">Total - Full Requirements </t>
  </si>
  <si>
    <t>Standby</t>
  </si>
  <si>
    <t>Totals - Retail</t>
  </si>
  <si>
    <t>Source: Base Transmission Revenue Requirement (TRR) 1-BaseTRR, L. 704 =</t>
  </si>
  <si>
    <t>1) Recorded sales (kWh) and 5-Year Average are from WP_29-RetailRates 4; 5; and 5a.</t>
  </si>
  <si>
    <t>2) Forecast kWh Billing Determinates are from WP_29-RetailRates 8 and 9 and approved by the CPUC in D.19-02-023.</t>
  </si>
  <si>
    <t>3) Recorded monthly contribution coincident system peak (12-CP) data (kW) and 5-Year Average are from WP_29-RetailRates 3; 3a; and 4.</t>
  </si>
  <si>
    <t>4) Demand loss factors are based on system losses at PG&amp;E's Transmission, Primary and Secondary Distribution voltage levels of service.</t>
  </si>
  <si>
    <t xml:space="preserve">5) Medium Light and Power Line 106 is a subtotal of Lines 102 through 105; Agriculture Line 110 is a subtotal of Lines 108 and 109; Schedule E-20 Line 114 is a subtotal of Lines 111 through 113; Total - Full Requirements Line 115 is a subtotal of Lines 100, 101, 106, 107, 110 and 114; Standby Line 119 is a subtotal of Lines 116 through 118; Totals - Retail Line 120 is a total of Line 115 and 119. </t>
  </si>
  <si>
    <t>Prior Year: 2021</t>
  </si>
  <si>
    <t>Sum of Lines 100 to 102</t>
  </si>
  <si>
    <t>(Line 400 + Line 401) / 10</t>
  </si>
  <si>
    <t>Sum of Lines 104 to 106</t>
  </si>
  <si>
    <t>Line 108 + Line 109</t>
  </si>
  <si>
    <t>Line 111a + Line 111b</t>
  </si>
  <si>
    <t>Sum of Lines 103, 107, 110 and Lines 111c to 114</t>
  </si>
  <si>
    <t>Line 200 * 1-BaseTRR, L. 210</t>
  </si>
  <si>
    <t>Sum of Lines 201 to 203</t>
  </si>
  <si>
    <t>Line 202 + Line 203</t>
  </si>
  <si>
    <t>1-BaseTRR, L. 221</t>
  </si>
  <si>
    <t>Line 204 * Line 115</t>
  </si>
  <si>
    <t>Line 102 * Line 206</t>
  </si>
  <si>
    <t>Line 207 - Line 208</t>
  </si>
  <si>
    <t>(Line 300 + Line 301) - (Line 300 * Line 301)</t>
  </si>
  <si>
    <t>Line 304</t>
  </si>
  <si>
    <t>Line 115</t>
  </si>
  <si>
    <t>Line 205</t>
  </si>
  <si>
    <t>Line 302</t>
  </si>
  <si>
    <t>1-BaseTRR, L. 407</t>
  </si>
  <si>
    <t>1-BaseTRR, L. 404</t>
  </si>
  <si>
    <t>Line 208</t>
  </si>
  <si>
    <t>1) Input the Annual True-up Adjustment that was included in the Prior Year's rates on Line 416 and input the Rate Year the ATA trued-up. (For example,  if the Prior Year is 2021, then the ATA that was included in the 2021 rates was the ATA for 2019.)</t>
  </si>
  <si>
    <t>1-BaseTRR, L. 500</t>
  </si>
  <si>
    <t>1-BaseTRR, L. 501</t>
  </si>
  <si>
    <t>1-BaseTRR, L. 502</t>
  </si>
  <si>
    <t>1-BaseTRR, L. 503</t>
  </si>
  <si>
    <t>Line 209</t>
  </si>
  <si>
    <t>1-BaseTRR, L. 507</t>
  </si>
  <si>
    <t>Line 303</t>
  </si>
  <si>
    <t>1-BaseTRR, L. 509</t>
  </si>
  <si>
    <t>1-BaseTRR, L. 510</t>
  </si>
  <si>
    <t>1-BaseTRR, L. 511</t>
  </si>
  <si>
    <t>Sum Lines 400 to 410</t>
  </si>
  <si>
    <t>1-BaseTRR, L. 513</t>
  </si>
  <si>
    <t>1-BaseTRR, L. 514</t>
  </si>
  <si>
    <t>Line 411 * ( Line 412 + Line 413)</t>
  </si>
  <si>
    <t>Line 411 + Line 414</t>
  </si>
  <si>
    <t>Line 415 + Line 416</t>
  </si>
  <si>
    <t>1-BaseTRR, L. 700</t>
  </si>
  <si>
    <t>Line 417 * Line 418</t>
  </si>
  <si>
    <t>Line 417 + Line 419 + Line 420</t>
  </si>
  <si>
    <t>Rate Year: 2023</t>
  </si>
  <si>
    <t xml:space="preserve">2) Input the Total Sales from the Prior Year FERC Form 1 on Line 113.  The total on Line 112, col 8, should match the total on Line 113. </t>
  </si>
  <si>
    <t>1) Input any corrections or adjustments from previous Annual Update Filings on Line 201. Input the Corrected Principle in Col 5 and the Accumulated Interest in Col 8. A workpaper must accompany any correction or adjustment.</t>
  </si>
  <si>
    <t>3-True-up TRR, L. 421</t>
  </si>
  <si>
    <t>Col 2 - Col 3</t>
  </si>
  <si>
    <t>Col 5 + Col 8</t>
  </si>
  <si>
    <t>1) Input the Total Amortization amount on Line 312 that will set the December Month Ending Balance on Line 311, Col 7 equal to $0. (Hint: Use the Goal Seek Function to set the December Month Ending Balance in Col 7 to equal $0)</t>
  </si>
  <si>
    <t>Col 4 + Col 5</t>
  </si>
  <si>
    <t>Negative Line 312, Col 3</t>
  </si>
  <si>
    <t>1) On Line 500, Input 'No' for a Full Year True-up, otherwise Input 'Yes' for a Partial Year True-up</t>
  </si>
  <si>
    <t>2) If Line 500 is 'Yes', Input 'Yes' or 'No'  in Col 4 for each month that the Formula Rate was in effect in the Prior Year and Input the True-up TRR Allocation Factors into Col 2.</t>
  </si>
  <si>
    <t>3) For each month of the Prior Year, the Monthly True-up TRR is calculated by multiplying the True-up TRR on Line 200 by monthly allocation factors from Lines 501 to 512, Col 2.</t>
  </si>
  <si>
    <t>4) The Retail Transmission Revenues are from Lines 100 to 111, Col 1.  For a partial year true-up, only revenues for the months that the Formula Rate was in effect in the Prior Year are included.</t>
  </si>
  <si>
    <t>9) The January 'Month Beginning Balance' on Line 300, Col 2 is equal to the 'Cumulative Excess or Shortall in Revenue with Interest' from Line 225, Col 9.</t>
  </si>
  <si>
    <t>10) 'Interest for the Current Month' (Col 5) is based on the average of the 'Month Beginning Balance' (Col 2) and the 'Month Ending Balancing without Interest' (Col 4), multiplied by the 'Monthly Interest Rate' (Col 6).</t>
  </si>
  <si>
    <t>11) The 'Monthly Interest Rate' is the last known FERC interest rate from Line 225, Col 6.</t>
  </si>
  <si>
    <t>Line 200 + Line 201</t>
  </si>
  <si>
    <t>24-Allocators, Line 113</t>
  </si>
  <si>
    <t>Line 202 * Line 203</t>
  </si>
  <si>
    <t>Average of Line 204, Col 1 and Col 2</t>
  </si>
  <si>
    <t>Negative 5-CostofCap-4, Line 102 (see Note 3)</t>
  </si>
  <si>
    <t>24-Allocators, Line 116</t>
  </si>
  <si>
    <t>Line 300 * Line 301 (see Note 3)</t>
  </si>
  <si>
    <t>Average of Line 302, Col 1 and Col 2</t>
  </si>
  <si>
    <t>Average of Line 400</t>
  </si>
  <si>
    <t>24-Allocators, Line 135</t>
  </si>
  <si>
    <t>Line 500 * Line 501 (see Note 5)</t>
  </si>
  <si>
    <t>Average of Line 502, Col 1 and Col 2</t>
  </si>
  <si>
    <t>Line 600 * Line 601 (see Note 6)</t>
  </si>
  <si>
    <t>Average of Line 602, Col 1 and Col 2</t>
  </si>
  <si>
    <t>Difference Between Corrected V1 and Original</t>
  </si>
  <si>
    <t>Line 205 * Line 206</t>
  </si>
  <si>
    <t>Line 207 * Line 208</t>
  </si>
  <si>
    <t>Original</t>
  </si>
  <si>
    <t>Difference from Original</t>
  </si>
  <si>
    <t>Corrections</t>
  </si>
  <si>
    <t>A&amp;G</t>
  </si>
  <si>
    <t>Cost of Debt</t>
  </si>
  <si>
    <t>check to zero</t>
  </si>
  <si>
    <t>See 3-True-upTRR Corrected V1 for breakdown of the $1.06M principal corrections.</t>
  </si>
  <si>
    <t>Check to zero</t>
  </si>
  <si>
    <t>Difference between V1 and Original</t>
  </si>
  <si>
    <t>From TO20 PY2020 (RY2022) Corrected Model V2</t>
  </si>
  <si>
    <t>Total Correcction entered in TO20 RY2024 Annual Update, 4-ATA, Line 201, Col 5 and Col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</si>
</sst>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0.0000%"/>
    <numFmt numFmtId="168" formatCode="0.0%"/>
    <numFmt numFmtId="169" formatCode="General_)"/>
    <numFmt numFmtId="170" formatCode="[$-409]mmmm\ d\,\ yyyy;@"/>
    <numFmt numFmtId="171" formatCode="[$-409]d\-mmm;@"/>
    <numFmt numFmtId="172" formatCode="_([$€-2]* #,##0.00_);_([$€-2]* \(#,##0.00\);_([$€-2]* &quot;-&quot;??_)"/>
    <numFmt numFmtId="173" formatCode="mmmddyyyy"/>
    <numFmt numFmtId="174" formatCode="0.000000"/>
    <numFmt numFmtId="175" formatCode="[$-409]d\-mmm\-yy;@"/>
    <numFmt numFmtId="176" formatCode="[$-409]mmm\-yy;@"/>
    <numFmt numFmtId="177" formatCode="m\-d\-yy"/>
    <numFmt numFmtId="178" formatCode="yymmmmdd"/>
    <numFmt numFmtId="179" formatCode="0.000\ \¢"/>
    <numFmt numFmtId="180" formatCode="_-* #,##0.00\ _D_M_-;\-* #,##0.00\ _D_M_-;_-* &quot;-&quot;??\ _D_M_-;_-@_-"/>
    <numFmt numFmtId="181" formatCode="&quot;$&quot;.00;;"/>
    <numFmt numFmtId="182" formatCode="_-* #,##0.00\ &quot;DM&quot;_-;\-* #,##0.00\ &quot;DM&quot;_-;_-* &quot;-&quot;??\ &quot;DM&quot;_-;_-@_-"/>
    <numFmt numFmtId="183" formatCode="&quot;$&quot;#,##0.00;\-&quot;$&quot;#,##0.00"/>
    <numFmt numFmtId="184" formatCode="_-* #,##0.0_-;\-* #,##0.0_-;_-* &quot;-&quot;??_-;_-@_-"/>
    <numFmt numFmtId="185" formatCode="#,##0.00&quot; $&quot;;\-#,##0.00&quot; $&quot;"/>
    <numFmt numFmtId="186" formatCode=";;;"/>
    <numFmt numFmtId="187" formatCode="#,##0;;"/>
    <numFmt numFmtId="188" formatCode="0.00_)"/>
    <numFmt numFmtId="189" formatCode="&quot;$&quot;#,##0_);[Red]\(&quot;$&quot;#,##0\);&quot;-&quot;???"/>
    <numFmt numFmtId="190" formatCode="0.0%;_(\ &quot;-&quot;_)"/>
    <numFmt numFmtId="191" formatCode="[$-409]mmmm\-yy;@"/>
    <numFmt numFmtId="192" formatCode="0.000000000"/>
    <numFmt numFmtId="193" formatCode="&quot;$&quot;#,##0.0_);[Red]\(&quot;$&quot;#,##0.0\)"/>
    <numFmt numFmtId="194" formatCode="0.000"/>
    <numFmt numFmtId="195" formatCode="0.000%"/>
    <numFmt numFmtId="196" formatCode="_(&quot;$&quot;* #,##0.00_);_(&quot;$&quot;* \(#,##0.00\);_(&quot;$&quot;* &quot;-&quot;_);_(@_)"/>
    <numFmt numFmtId="197" formatCode="0_);\(0\)"/>
    <numFmt numFmtId="198" formatCode="_(* #,##0.00000_);_(* \(#,##0.00000\);_(* &quot;-&quot;??_);_(@_)"/>
    <numFmt numFmtId="199" formatCode="&quot;$&quot;#,##0.00"/>
    <numFmt numFmtId="200" formatCode="&quot;$&quot;#,##0.0000_);[Red]\(&quot;$&quot;#,##0.0000\)"/>
    <numFmt numFmtId="201" formatCode="_(* #,##0.0000_);_(* \(#,##0.0000\);_(* &quot;-&quot;??_);_(@_)"/>
    <numFmt numFmtId="202" formatCode="&quot;$&quot;#,##0.00000"/>
    <numFmt numFmtId="203" formatCode="0.00000"/>
    <numFmt numFmtId="204" formatCode="m/d/yy;@"/>
    <numFmt numFmtId="205" formatCode="0.000000%"/>
    <numFmt numFmtId="206" formatCode="0.0000000%"/>
    <numFmt numFmtId="207" formatCode="0.00000%"/>
  </numFmts>
  <fonts count="120">
    <font>
      <sz val="11"/>
      <color theme="1"/>
      <name val="Calibri"/>
      <family val="2"/>
      <scheme val="minor"/>
    </font>
    <font>
      <sz val="10"/>
      <color theme="1"/>
      <name val="Arial"/>
      <family val="2"/>
    </font>
    <font>
      <b/>
      <sz val="11"/>
      <color theme="1"/>
      <name val="Calibri"/>
      <family val="2"/>
      <scheme val="minor"/>
    </font>
    <font>
      <u/>
      <sz val="11"/>
      <color theme="1"/>
      <name val="Calibri"/>
      <family val="2"/>
      <scheme val="minor"/>
    </font>
    <font>
      <b/>
      <u/>
      <sz val="11"/>
      <color theme="1"/>
      <name val="Calibri"/>
      <family val="2"/>
      <scheme val="minor"/>
    </font>
    <font>
      <sz val="10"/>
      <name val="Arial"/>
      <family val="2"/>
    </font>
    <font>
      <b/>
      <sz val="10"/>
      <name val="Arial"/>
      <family val="2"/>
    </font>
    <font>
      <sz val="10"/>
      <name val="MS Sans Serif"/>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1"/>
      <name val="Calibri"/>
      <family val="2"/>
      <scheme val="minor"/>
    </font>
    <font>
      <sz val="10"/>
      <name val="Helv"/>
      <family val="2"/>
    </font>
    <font>
      <sz val="8"/>
      <name val="Times New Roman"/>
      <family val="1"/>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name val="Arial"/>
      <family val="2"/>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2"/>
      <name val="???"/>
      <family val="1"/>
      <charset val="129"/>
    </font>
    <font>
      <sz val="11"/>
      <color indexed="8"/>
      <name val="Calibri"/>
      <family val="2"/>
    </font>
    <font>
      <sz val="10"/>
      <color indexed="8"/>
      <name val="Arial"/>
      <family val="2"/>
    </font>
    <font>
      <sz val="11"/>
      <color indexed="9"/>
      <name val="Calibri"/>
      <family val="2"/>
    </font>
    <font>
      <sz val="10"/>
      <color indexed="9"/>
      <name val="Arial"/>
      <family val="2"/>
    </font>
    <font>
      <sz val="8"/>
      <name val="Arial"/>
      <family val="2"/>
    </font>
    <font>
      <sz val="11"/>
      <color indexed="20"/>
      <name val="Calibri"/>
      <family val="2"/>
    </font>
    <font>
      <sz val="11"/>
      <color indexed="37"/>
      <name val="Calibri"/>
      <family val="2"/>
    </font>
    <font>
      <sz val="11"/>
      <color indexed="16"/>
      <name val="Calibri"/>
      <family val="2"/>
    </font>
    <font>
      <sz val="12"/>
      <name val="Tms Rmn"/>
      <family val="2"/>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amily val="2"/>
    </font>
    <font>
      <sz val="11"/>
      <name val="??"/>
      <family val="3"/>
      <charset val="129"/>
    </font>
    <font>
      <sz val="12"/>
      <name val="Helv"/>
      <family val="2"/>
    </font>
    <font>
      <b/>
      <sz val="11"/>
      <color indexed="8"/>
      <name val="Calibri"/>
      <family val="2"/>
    </font>
    <font>
      <sz val="10"/>
      <color indexed="16"/>
      <name val="MS Serif"/>
      <family val="1"/>
    </font>
    <font>
      <i/>
      <sz val="11"/>
      <color indexed="23"/>
      <name val="Calibri"/>
      <family val="2"/>
    </font>
    <font>
      <i/>
      <sz val="10"/>
      <color indexed="23"/>
      <name val="Arial"/>
      <family val="2"/>
    </font>
    <font>
      <sz val="11"/>
      <color indexed="17"/>
      <name val="Calibri"/>
      <family val="2"/>
    </font>
    <font>
      <b/>
      <u/>
      <sz val="11"/>
      <color indexed="37"/>
      <name val="Arial"/>
      <family val="2"/>
    </font>
    <font>
      <b/>
      <sz val="12"/>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sz val="7"/>
      <color indexed="12"/>
      <name val="Arial"/>
      <family val="2"/>
    </font>
    <font>
      <sz val="6"/>
      <color indexed="12"/>
      <name val="Arial"/>
      <family val="2"/>
    </font>
    <font>
      <u/>
      <sz val="7.5"/>
      <color indexed="12"/>
      <name val="Arial"/>
      <family val="2"/>
    </font>
    <font>
      <b/>
      <i/>
      <sz val="10"/>
      <color indexed="62"/>
      <name val="Arial"/>
      <family val="2"/>
    </font>
    <font>
      <sz val="11"/>
      <color indexed="48"/>
      <name val="Calibri"/>
      <family val="2"/>
    </font>
    <font>
      <sz val="11"/>
      <color indexed="62"/>
      <name val="Calibri"/>
      <family val="2"/>
    </font>
    <font>
      <sz val="9"/>
      <name val="Helv"/>
      <family val="2"/>
    </font>
    <font>
      <sz val="11"/>
      <color indexed="52"/>
      <name val="Calibri"/>
      <family val="2"/>
    </font>
    <font>
      <sz val="11"/>
      <color indexed="53"/>
      <name val="Calibri"/>
      <family val="2"/>
    </font>
    <font>
      <b/>
      <sz val="9"/>
      <color indexed="18"/>
      <name val="Arial"/>
      <family val="2"/>
    </font>
    <font>
      <b/>
      <sz val="10"/>
      <name val="Helv"/>
      <family val="2"/>
    </font>
    <font>
      <sz val="11"/>
      <color indexed="60"/>
      <name val="Calibri"/>
      <family val="2"/>
    </font>
    <font>
      <sz val="7"/>
      <name val="Small Fonts"/>
      <family val="2"/>
    </font>
    <font>
      <b/>
      <i/>
      <sz val="16"/>
      <name val="Helv"/>
      <family val="2"/>
    </font>
    <font>
      <sz val="10"/>
      <name val="Tahoma"/>
      <family val="2"/>
    </font>
    <font>
      <sz val="11"/>
      <color theme="1"/>
      <name val="Times New Roman"/>
      <family val="1"/>
    </font>
    <font>
      <b/>
      <sz val="16"/>
      <color theme="1"/>
      <name val="Times New Roman"/>
      <family val="1"/>
    </font>
    <font>
      <b/>
      <sz val="14"/>
      <color theme="1"/>
      <name val="Times New Roman"/>
      <family val="1"/>
    </font>
    <font>
      <u/>
      <sz val="11"/>
      <name val="Calibri"/>
      <family val="2"/>
      <scheme val="minor"/>
    </font>
    <font>
      <b/>
      <sz val="11"/>
      <name val="Calibri"/>
      <family val="2"/>
      <scheme val="minor"/>
    </font>
    <font>
      <b/>
      <u/>
      <sz val="11"/>
      <name val="Calibri"/>
      <family val="2"/>
      <scheme val="minor"/>
    </font>
    <font>
      <b/>
      <sz val="11"/>
      <color rgb="FFFF0000"/>
      <name val="Calibri"/>
      <family val="2"/>
      <scheme val="minor"/>
    </font>
    <font>
      <sz val="11"/>
      <color rgb="FF000000"/>
      <name val="Calibri"/>
      <family val="2"/>
      <scheme val="minor"/>
    </font>
    <font>
      <u/>
      <sz val="11"/>
      <color theme="10"/>
      <name val="Calibri"/>
      <family val="2"/>
      <scheme val="minor"/>
    </font>
    <font>
      <b/>
      <i/>
      <sz val="11"/>
      <name val="Calibri"/>
      <family val="2"/>
      <scheme val="minor"/>
    </font>
    <font>
      <i/>
      <sz val="11"/>
      <name val="Calibri"/>
      <family val="2"/>
      <scheme val="minor"/>
    </font>
    <font>
      <i/>
      <sz val="11"/>
      <color rgb="FFFF0000"/>
      <name val="Calibri"/>
      <family val="2"/>
      <scheme val="minor"/>
    </font>
    <font>
      <sz val="11"/>
      <color indexed="8"/>
      <name val="Calibri"/>
      <family val="2"/>
      <scheme val="minor"/>
    </font>
    <font>
      <i/>
      <sz val="11"/>
      <color indexed="12"/>
      <name val="Calibri"/>
      <family val="2"/>
      <scheme val="minor"/>
    </font>
    <font>
      <sz val="11"/>
      <color indexed="16"/>
      <name val="Calibri"/>
      <family val="2"/>
      <scheme val="minor"/>
    </font>
    <font>
      <sz val="11"/>
      <color indexed="12"/>
      <name val="Calibri"/>
      <family val="2"/>
      <scheme val="minor"/>
    </font>
    <font>
      <u/>
      <sz val="11"/>
      <color indexed="8"/>
      <name val="Calibri"/>
      <family val="2"/>
      <scheme val="minor"/>
    </font>
    <font>
      <b/>
      <sz val="11"/>
      <color indexed="8"/>
      <name val="Calibri"/>
      <family val="2"/>
      <scheme val="minor"/>
    </font>
    <font>
      <b/>
      <sz val="10"/>
      <color theme="1"/>
      <name val="Times New Roman"/>
      <family val="1"/>
    </font>
    <font>
      <sz val="11"/>
      <name val="Calibri"/>
      <family val="2"/>
    </font>
    <font>
      <b/>
      <sz val="9.35"/>
      <name val="Calibri"/>
      <family val="2"/>
    </font>
    <font>
      <b/>
      <sz val="11"/>
      <name val="Calibri"/>
      <family val="2"/>
    </font>
    <font>
      <b/>
      <strike/>
      <sz val="8.8000000000000007"/>
      <name val="Calibri"/>
      <family val="2"/>
    </font>
    <font>
      <b/>
      <strike/>
      <sz val="11"/>
      <name val="Calibri"/>
      <family val="2"/>
    </font>
    <font>
      <b/>
      <sz val="10"/>
      <name val="Times New Roman"/>
      <family val="1"/>
    </font>
    <font>
      <sz val="8.8000000000000007"/>
      <name val="Calibri"/>
      <family val="2"/>
    </font>
    <font>
      <sz val="11"/>
      <color theme="1"/>
      <name val="Calibri"/>
      <family val="2"/>
      <scheme val="minor"/>
    </font>
  </fonts>
  <fills count="96">
    <fill>
      <patternFill patternType="none"/>
    </fill>
    <fill>
      <patternFill patternType="gray125"/>
    </fill>
    <fill>
      <patternFill patternType="solid">
        <fgColor rgb="FFDBE5F1"/>
        <bgColor indexed="64"/>
      </patternFill>
    </fill>
    <fill>
      <patternFill patternType="solid">
        <fgColor rgb="FFFFFFFF"/>
        <bgColor indexed="64"/>
      </patternFill>
    </fill>
    <fill>
      <patternFill patternType="solid">
        <fgColor rgb="FFE9EFF7"/>
        <bgColor indexed="64"/>
      </patternFill>
    </fill>
    <fill>
      <patternFill patternType="solid">
        <fgColor rgb="FFF1F5FB"/>
        <bgColor indexed="64"/>
      </patternFill>
    </fill>
    <fill>
      <patternFill patternType="solid">
        <fgColor rgb="FFC6F9C1"/>
        <bgColor indexed="64"/>
      </patternFill>
    </fill>
    <fill>
      <patternFill patternType="solid">
        <fgColor rgb="FFABEDA5"/>
        <bgColor indexed="64"/>
      </patternFill>
    </fill>
    <fill>
      <patternFill patternType="solid">
        <fgColor rgb="FF94D88F"/>
        <bgColor indexed="64"/>
      </patternFill>
    </fill>
    <fill>
      <patternFill patternType="solid">
        <fgColor rgb="FFFFFDBF"/>
        <bgColor indexed="64"/>
      </patternFill>
    </fill>
    <fill>
      <patternFill patternType="solid">
        <fgColor rgb="FFFFFB8C"/>
        <bgColor indexed="64"/>
      </patternFill>
    </fill>
    <fill>
      <patternFill patternType="solid">
        <fgColor rgb="FFFFF843"/>
        <bgColor indexed="64"/>
      </patternFill>
    </fill>
    <fill>
      <patternFill patternType="solid">
        <fgColor rgb="FFFFC7CE"/>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indexed="31"/>
        <bgColor indexed="64"/>
      </patternFill>
    </fill>
    <fill>
      <patternFill patternType="solid">
        <fgColor indexed="40"/>
        <bgColor indexed="64"/>
      </patternFill>
    </fill>
    <fill>
      <patternFill patternType="solid">
        <fgColor theme="4" tint="0.79985961485641044"/>
        <bgColor indexed="64"/>
      </patternFill>
    </fill>
    <fill>
      <patternFill patternType="solid">
        <fgColor indexed="45"/>
        <bgColor indexed="64"/>
      </patternFill>
    </fill>
    <fill>
      <patternFill patternType="solid">
        <fgColor indexed="29"/>
        <bgColor indexed="64"/>
      </patternFill>
    </fill>
    <fill>
      <patternFill patternType="solid">
        <fgColor theme="5" tint="0.79985961485641044"/>
        <bgColor indexed="64"/>
      </patternFill>
    </fill>
    <fill>
      <patternFill patternType="solid">
        <fgColor indexed="42"/>
        <bgColor indexed="64"/>
      </patternFill>
    </fill>
    <fill>
      <patternFill patternType="solid">
        <fgColor indexed="26"/>
        <bgColor indexed="64"/>
      </patternFill>
    </fill>
    <fill>
      <patternFill patternType="solid">
        <fgColor theme="6" tint="0.79985961485641044"/>
        <bgColor indexed="64"/>
      </patternFill>
    </fill>
    <fill>
      <patternFill patternType="solid">
        <fgColor indexed="46"/>
        <bgColor indexed="64"/>
      </patternFill>
    </fill>
    <fill>
      <patternFill patternType="solid">
        <fgColor indexed="9"/>
        <bgColor indexed="64"/>
      </patternFill>
    </fill>
    <fill>
      <patternFill patternType="solid">
        <fgColor theme="7" tint="0.79985961485641044"/>
        <bgColor indexed="64"/>
      </patternFill>
    </fill>
    <fill>
      <patternFill patternType="solid">
        <fgColor indexed="27"/>
        <bgColor indexed="64"/>
      </patternFill>
    </fill>
    <fill>
      <patternFill patternType="solid">
        <fgColor indexed="44"/>
        <bgColor indexed="64"/>
      </patternFill>
    </fill>
    <fill>
      <patternFill patternType="solid">
        <fgColor theme="8" tint="0.79985961485641044"/>
        <bgColor indexed="64"/>
      </patternFill>
    </fill>
    <fill>
      <patternFill patternType="solid">
        <fgColor indexed="47"/>
        <bgColor indexed="64"/>
      </patternFill>
    </fill>
    <fill>
      <patternFill patternType="solid">
        <fgColor theme="9" tint="0.79985961485641044"/>
        <bgColor indexed="64"/>
      </patternFill>
    </fill>
    <fill>
      <patternFill patternType="solid">
        <fgColor indexed="5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indexed="11"/>
        <bgColor indexed="64"/>
      </patternFill>
    </fill>
    <fill>
      <patternFill patternType="solid">
        <fgColor indexed="57"/>
        <bgColor indexed="64"/>
      </patternFill>
    </fill>
    <fill>
      <patternFill patternType="solid">
        <fgColor theme="6" tint="0.59987182226020086"/>
        <bgColor indexed="64"/>
      </patternFill>
    </fill>
    <fill>
      <patternFill patternType="solid">
        <fgColor indexed="22"/>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indexed="51"/>
        <bgColor indexed="64"/>
      </patternFill>
    </fill>
    <fill>
      <patternFill patternType="solid">
        <fgColor theme="9" tint="0.59987182226020086"/>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61"/>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theme="4"/>
        <bgColor indexed="64"/>
      </patternFill>
    </fill>
    <fill>
      <patternFill patternType="solid">
        <fgColor indexed="15"/>
        <bgColor indexed="64"/>
      </patternFill>
    </fill>
    <fill>
      <patternFill patternType="solid">
        <fgColor indexed="55"/>
        <bgColor indexed="64"/>
      </patternFill>
    </fill>
    <fill>
      <patternFill patternType="solid">
        <fgColor indexed="25"/>
        <bgColor indexed="64"/>
      </patternFill>
    </fill>
    <fill>
      <patternFill patternType="solid">
        <fgColor indexed="10"/>
        <bgColor indexed="64"/>
      </patternFill>
    </fill>
    <fill>
      <patternFill patternType="solid">
        <fgColor theme="5"/>
        <bgColor indexed="64"/>
      </patternFill>
    </fill>
    <fill>
      <patternFill patternType="solid">
        <fgColor indexed="41"/>
        <bgColor indexed="64"/>
      </patternFill>
    </fill>
    <fill>
      <patternFill patternType="solid">
        <fgColor indexed="60"/>
        <bgColor indexed="64"/>
      </patternFill>
    </fill>
    <fill>
      <patternFill patternType="solid">
        <fgColor indexed="50"/>
        <bgColor indexed="64"/>
      </patternFill>
    </fill>
    <fill>
      <patternFill patternType="solid">
        <fgColor theme="6"/>
        <bgColor indexed="64"/>
      </patternFill>
    </fill>
    <fill>
      <patternFill patternType="solid">
        <fgColor indexed="23"/>
        <bgColor indexed="64"/>
      </patternFill>
    </fill>
    <fill>
      <patternFill patternType="solid">
        <fgColor indexed="18"/>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indexed="14"/>
        <bgColor indexed="64"/>
      </patternFill>
    </fill>
    <fill>
      <patternFill patternType="solid">
        <fgColor indexed="43"/>
        <bgColor indexed="64"/>
      </patternFill>
    </fill>
    <fill>
      <patternFill patternType="solid">
        <fgColor rgb="FFFFEB9C"/>
        <bgColor indexed="64"/>
      </patternFill>
    </fill>
    <fill>
      <patternFill patternType="solid">
        <fgColor rgb="FFFFE979"/>
        <bgColor indexed="64"/>
      </patternFill>
    </fill>
    <fill>
      <patternFill patternType="solid">
        <fgColor rgb="FF7DDDFF"/>
        <bgColor indexed="64"/>
      </patternFill>
    </fill>
    <fill>
      <patternFill patternType="solid">
        <fgColor rgb="FFFFE97D"/>
        <bgColor indexed="64"/>
      </patternFill>
    </fill>
    <fill>
      <patternFill patternType="solid">
        <fgColor rgb="FFFF0000"/>
        <bgColor indexed="64"/>
      </patternFill>
    </fill>
    <fill>
      <patternFill patternType="solid">
        <fgColor rgb="FF92D050"/>
        <bgColor indexed="64"/>
      </patternFill>
    </fill>
  </fills>
  <borders count="51">
    <border>
      <left/>
      <right/>
      <top/>
      <bottom/>
      <diagonal/>
    </border>
    <border>
      <left style="thin">
        <color theme="3" tint="-0.24982451857051302"/>
      </left>
      <right style="thin">
        <color theme="3" tint="-0.24982451857051302"/>
      </right>
      <top style="thin">
        <color theme="3" tint="-0.24982451857051302"/>
      </top>
      <bottom style="thin">
        <color theme="3" tint="-0.24982451857051302"/>
      </bottom>
      <diagonal/>
    </border>
    <border>
      <left style="thin">
        <color theme="3" tint="0.59984130375072486"/>
      </left>
      <right style="thin">
        <color theme="3" tint="0.59984130375072486"/>
      </right>
      <top style="thin">
        <color theme="3" tint="0.59984130375072486"/>
      </top>
      <bottom style="thin">
        <color theme="3" tint="0.59984130375072486"/>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auto="1"/>
      </left>
      <right/>
      <top/>
      <bottom/>
      <diagonal/>
    </border>
    <border>
      <left style="double">
        <color auto="1"/>
      </left>
      <right/>
      <top/>
      <bottom style="hair">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48"/>
      </bottom>
      <diagonal/>
    </border>
    <border>
      <left/>
      <right/>
      <top/>
      <bottom style="thick">
        <color theme="4"/>
      </bottom>
      <diagonal/>
    </border>
    <border>
      <left/>
      <right/>
      <top/>
      <bottom style="thick">
        <color indexed="22"/>
      </bottom>
      <diagonal/>
    </border>
    <border>
      <left/>
      <right/>
      <top/>
      <bottom style="thick">
        <color indexed="58"/>
      </bottom>
      <diagonal/>
    </border>
    <border>
      <left/>
      <right/>
      <top/>
      <bottom style="thick">
        <color theme="4" tint="0.49986266670735802"/>
      </bottom>
      <diagonal/>
    </border>
    <border>
      <left/>
      <right/>
      <top/>
      <bottom style="medium">
        <color indexed="30"/>
      </bottom>
      <diagonal/>
    </border>
    <border>
      <left/>
      <right/>
      <top/>
      <bottom style="medium">
        <color indexed="58"/>
      </bottom>
      <diagonal/>
    </border>
    <border>
      <left/>
      <right/>
      <top/>
      <bottom style="medium">
        <color theme="4" tint="0.39997558519241921"/>
      </bottom>
      <diagonal/>
    </border>
    <border>
      <left/>
      <right/>
      <top/>
      <bottom style="medium">
        <color indexed="24"/>
      </bottom>
      <diagonal/>
    </border>
    <border>
      <left/>
      <right/>
      <top/>
      <bottom style="medium">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bottom style="double">
        <color indexed="17"/>
      </bottom>
      <diagonal/>
    </border>
    <border>
      <left/>
      <right/>
      <top/>
      <bottom style="double">
        <color rgb="FFFF8001"/>
      </bottom>
      <diagonal/>
    </border>
    <border>
      <left/>
      <right/>
      <top/>
      <bottom style="double">
        <color indexed="53"/>
      </bottom>
      <diagonal/>
    </border>
    <border>
      <left/>
      <right/>
      <top/>
      <bottom style="thin">
        <color auto="1"/>
      </bottom>
      <diagonal/>
    </border>
    <border>
      <left/>
      <right/>
      <top style="thin">
        <color auto="1"/>
      </top>
      <bottom/>
      <diagonal/>
    </border>
    <border>
      <left/>
      <right/>
      <top/>
      <bottom style="double">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1874">
    <xf numFmtId="0" fontId="0" fillId="0" borderId="0"/>
    <xf numFmtId="9" fontId="119" fillId="0" borderId="0" applyFont="0" applyFill="0" applyBorder="0" applyAlignment="0" applyProtection="0"/>
    <xf numFmtId="44" fontId="119" fillId="0" borderId="0" applyFont="0" applyFill="0" applyBorder="0" applyAlignment="0" applyProtection="0"/>
    <xf numFmtId="42" fontId="1" fillId="0" borderId="0" applyFont="0" applyFill="0" applyBorder="0" applyAlignment="0" applyProtection="0"/>
    <xf numFmtId="43" fontId="119" fillId="0" borderId="0" applyFont="0" applyFill="0" applyBorder="0" applyAlignment="0" applyProtection="0"/>
    <xf numFmtId="41"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0" fontId="7" fillId="0" borderId="0" applyFont="0" applyFill="0" applyBorder="0" applyAlignment="0" applyProtection="0"/>
    <xf numFmtId="0" fontId="5" fillId="0" borderId="0"/>
    <xf numFmtId="0" fontId="7" fillId="0" borderId="0"/>
    <xf numFmtId="0" fontId="8" fillId="0" borderId="1" applyNumberFormat="0" applyFont="0" applyFill="0" applyAlignment="0" applyProtection="0"/>
    <xf numFmtId="0" fontId="9" fillId="0" borderId="2" applyNumberFormat="0" applyProtection="0">
      <alignment horizontal="right" vertical="center"/>
    </xf>
    <xf numFmtId="0" fontId="10" fillId="0" borderId="3" applyNumberFormat="0" applyProtection="0">
      <alignment horizontal="right" vertical="center"/>
    </xf>
    <xf numFmtId="0" fontId="10" fillId="2" borderId="1" applyNumberFormat="0" applyProtection="0"/>
    <xf numFmtId="0" fontId="11" fillId="3" borderId="3" applyNumberFormat="0" applyProtection="0"/>
    <xf numFmtId="0" fontId="11" fillId="3" borderId="3" applyNumberFormat="0" applyProtection="0"/>
    <xf numFmtId="0" fontId="12" fillId="0" borderId="4" applyNumberFormat="0" applyFill="0" applyBorder="0" applyAlignment="0" applyProtection="0"/>
    <xf numFmtId="0" fontId="12" fillId="3" borderId="3" applyNumberFormat="0" applyProtection="0"/>
    <xf numFmtId="0" fontId="12" fillId="3" borderId="3" applyNumberFormat="0" applyProtection="0"/>
    <xf numFmtId="0" fontId="13" fillId="4" borderId="2" applyNumberFormat="0" applyBorder="0" applyProtection="0">
      <alignment horizontal="right" vertical="center"/>
    </xf>
    <xf numFmtId="0" fontId="14" fillId="4" borderId="3" applyNumberFormat="0" applyBorder="0" applyProtection="0">
      <alignment horizontal="right" vertical="center"/>
    </xf>
    <xf numFmtId="0" fontId="12" fillId="5" borderId="3" applyNumberFormat="0" applyProtection="0"/>
    <xf numFmtId="0" fontId="14" fillId="5" borderId="3" applyNumberFormat="0" applyProtection="0">
      <alignment horizontal="right" vertical="center"/>
    </xf>
    <xf numFmtId="0" fontId="15" fillId="0" borderId="4" applyBorder="0" applyAlignment="0" applyProtection="0"/>
    <xf numFmtId="0" fontId="16" fillId="6" borderId="5" applyNumberFormat="0" applyBorder="0" applyProtection="0"/>
    <xf numFmtId="0" fontId="17" fillId="7" borderId="5" applyNumberFormat="0" applyBorder="0" applyProtection="0"/>
    <xf numFmtId="0" fontId="17" fillId="8" borderId="5" applyNumberFormat="0" applyBorder="0" applyProtection="0"/>
    <xf numFmtId="0" fontId="18" fillId="9" borderId="5" applyNumberFormat="0" applyBorder="0" applyProtection="0"/>
    <xf numFmtId="0" fontId="18" fillId="10" borderId="5" applyNumberFormat="0" applyBorder="0" applyProtection="0"/>
    <xf numFmtId="0" fontId="18" fillId="11" borderId="5" applyNumberFormat="0" applyBorder="0" applyProtection="0"/>
    <xf numFmtId="0" fontId="19" fillId="12" borderId="5" applyNumberFormat="0" applyBorder="0" applyProtection="0"/>
    <xf numFmtId="0" fontId="19" fillId="13" borderId="5" applyNumberFormat="0" applyBorder="0" applyProtection="0"/>
    <xf numFmtId="0" fontId="19" fillId="14" borderId="5" applyNumberFormat="0" applyBorder="0" applyProtection="0"/>
    <xf numFmtId="0" fontId="11" fillId="15" borderId="1" applyNumberFormat="0" applyProtection="0"/>
    <xf numFmtId="0" fontId="11" fillId="16" borderId="1" applyNumberFormat="0" applyProtection="0"/>
    <xf numFmtId="0" fontId="11" fillId="17" borderId="1" applyNumberFormat="0" applyProtection="0"/>
    <xf numFmtId="0" fontId="11" fillId="4" borderId="1" applyNumberFormat="0" applyProtection="0"/>
    <xf numFmtId="0" fontId="11" fillId="5" borderId="3" applyNumberFormat="0" applyProtection="0"/>
    <xf numFmtId="0" fontId="9" fillId="4" borderId="2" applyNumberFormat="0" applyBorder="0" applyProtection="0">
      <alignment horizontal="right" vertical="center"/>
    </xf>
    <xf numFmtId="0" fontId="10" fillId="4" borderId="3" applyNumberFormat="0" applyBorder="0" applyProtection="0">
      <alignment horizontal="right" vertical="center"/>
    </xf>
    <xf numFmtId="0" fontId="9" fillId="2" borderId="1" applyNumberFormat="0" applyProtection="0"/>
    <xf numFmtId="0" fontId="10" fillId="2" borderId="3" applyNumberFormat="0" applyProtection="0"/>
    <xf numFmtId="0" fontId="11" fillId="5" borderId="3" applyNumberFormat="0" applyProtection="0"/>
    <xf numFmtId="0" fontId="10" fillId="5" borderId="3" applyNumberFormat="0" applyProtection="0">
      <alignment horizontal="right" vertical="center"/>
    </xf>
    <xf numFmtId="0" fontId="5" fillId="0" borderId="0"/>
    <xf numFmtId="0" fontId="5" fillId="0" borderId="0"/>
    <xf numFmtId="0" fontId="119" fillId="0" borderId="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4" fontId="5" fillId="0" borderId="0" applyFont="0" applyFill="0" applyBorder="0" applyAlignment="0" applyProtection="0"/>
    <xf numFmtId="0" fontId="119" fillId="0" borderId="0"/>
    <xf numFmtId="0" fontId="5"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9" fontId="119" fillId="0" borderId="0" applyFont="0" applyFill="0" applyBorder="0" applyAlignment="0" applyProtection="0"/>
    <xf numFmtId="9" fontId="119" fillId="0" borderId="0" applyFont="0" applyFill="0" applyBorder="0" applyAlignment="0" applyProtection="0"/>
    <xf numFmtId="9" fontId="5" fillId="0" borderId="0" applyFont="0" applyFill="0" applyBorder="0" applyAlignment="0" applyProtection="0"/>
    <xf numFmtId="0" fontId="37" fillId="0" borderId="0"/>
    <xf numFmtId="170" fontId="37" fillId="0" borderId="0"/>
    <xf numFmtId="171" fontId="37" fillId="0" borderId="0"/>
    <xf numFmtId="172" fontId="37" fillId="0" borderId="0"/>
    <xf numFmtId="170" fontId="37" fillId="0" borderId="0"/>
    <xf numFmtId="171" fontId="37" fillId="0" borderId="0"/>
    <xf numFmtId="171" fontId="37" fillId="0" borderId="0"/>
    <xf numFmtId="171" fontId="37" fillId="0" borderId="0"/>
    <xf numFmtId="0" fontId="37" fillId="0" borderId="0"/>
    <xf numFmtId="170" fontId="37" fillId="0" borderId="0"/>
    <xf numFmtId="171" fontId="37" fillId="0" borderId="0"/>
    <xf numFmtId="172" fontId="37" fillId="0" borderId="0"/>
    <xf numFmtId="170" fontId="37" fillId="0" borderId="0"/>
    <xf numFmtId="171" fontId="37" fillId="0" borderId="0"/>
    <xf numFmtId="171" fontId="37" fillId="0" borderId="0"/>
    <xf numFmtId="171" fontId="37" fillId="0" borderId="0"/>
    <xf numFmtId="0" fontId="38" fillId="0" borderId="0" applyNumberFormat="0" applyFill="0" applyBorder="0" applyProtection="0"/>
    <xf numFmtId="0" fontId="38"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Protection="0"/>
    <xf numFmtId="0" fontId="40"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3" fontId="5" fillId="0" borderId="0" applyFont="0" applyFill="0" applyBorder="0" applyAlignment="0" applyProtection="0"/>
    <xf numFmtId="170" fontId="41" fillId="0" borderId="6" applyBorder="0">
      <alignment horizontal="left"/>
    </xf>
    <xf numFmtId="171" fontId="41" fillId="0" borderId="6" applyBorder="0">
      <alignment horizontal="left"/>
    </xf>
    <xf numFmtId="0" fontId="42" fillId="0" borderId="0"/>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174" fontId="5" fillId="0" borderId="0">
      <alignment horizontal="left" wrapText="1"/>
    </xf>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43" fillId="18"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43" fillId="21"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43" fillId="24"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43" fillId="27"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119" fillId="29" borderId="0" applyNumberFormat="0" applyBorder="0" applyAlignment="0" applyProtection="0"/>
    <xf numFmtId="0" fontId="119" fillId="29"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43" fillId="30"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119" fillId="32" borderId="0" applyNumberFormat="0" applyBorder="0" applyAlignment="0" applyProtection="0"/>
    <xf numFmtId="0" fontId="119" fillId="32"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43" fillId="33"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119" fillId="34" borderId="0" applyNumberFormat="0" applyBorder="0" applyAlignment="0" applyProtection="0"/>
    <xf numFmtId="0" fontId="119" fillId="34"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43" fillId="31"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43" fillId="22"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43" fillId="38"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43" fillId="27"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119" fillId="42" borderId="0" applyNumberFormat="0" applyBorder="0" applyAlignment="0" applyProtection="0"/>
    <xf numFmtId="0" fontId="119" fillId="42"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43" fillId="31"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43" fillId="44"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3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5"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5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4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1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5" fillId="63" borderId="0" applyNumberFormat="0" applyBorder="0" applyAlignment="0" applyProtection="0"/>
    <xf numFmtId="0" fontId="45" fillId="2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8"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5" fillId="41" borderId="0" applyNumberFormat="0" applyBorder="0" applyAlignment="0" applyProtection="0"/>
    <xf numFmtId="0" fontId="45" fillId="6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6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5" fillId="41" borderId="0" applyNumberFormat="0" applyBorder="0" applyAlignment="0" applyProtection="0"/>
    <xf numFmtId="0" fontId="45" fillId="1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6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5" fillId="35" borderId="0" applyNumberFormat="0" applyBorder="0" applyAlignment="0" applyProtection="0"/>
    <xf numFmtId="0" fontId="45" fillId="5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3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5" fillId="33" borderId="0" applyNumberFormat="0" applyBorder="0" applyAlignment="0" applyProtection="0"/>
    <xf numFmtId="0" fontId="45" fillId="4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0" fontId="47" fillId="0" borderId="0" applyNumberFormat="0" applyAlignment="0"/>
    <xf numFmtId="177" fontId="6" fillId="31" borderId="7">
      <alignment horizontal="center" vertical="center"/>
    </xf>
    <xf numFmtId="178" fontId="37" fillId="31" borderId="7">
      <alignment horizontal="center" vertical="center"/>
    </xf>
    <xf numFmtId="177" fontId="6" fillId="31" borderId="7">
      <alignment horizontal="center" vertical="center"/>
    </xf>
    <xf numFmtId="167" fontId="5" fillId="31" borderId="7">
      <alignment horizontal="center" vertical="center"/>
    </xf>
    <xf numFmtId="167" fontId="5" fillId="31" borderId="7">
      <alignment horizontal="center" vertical="center"/>
    </xf>
    <xf numFmtId="167" fontId="5" fillId="31" borderId="7">
      <alignment horizontal="center" vertical="center"/>
    </xf>
    <xf numFmtId="167" fontId="5" fillId="31" borderId="7">
      <alignment horizontal="center" vertical="center"/>
    </xf>
    <xf numFmtId="0" fontId="22" fillId="0" borderId="0">
      <alignment horizontal="center" wrapText="1"/>
      <protection locked="0"/>
    </xf>
    <xf numFmtId="0"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5"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9" fillId="2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9" fillId="25"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48"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8" applyFont="0"/>
    <xf numFmtId="1" fontId="52" fillId="0" borderId="8"/>
    <xf numFmtId="0" fontId="53" fillId="0" borderId="6" applyNumberFormat="0" applyBorder="0">
      <alignment horizontal="right"/>
    </xf>
    <xf numFmtId="167" fontId="5" fillId="0" borderId="0" applyFill="0" applyBorder="0" applyAlignment="0"/>
    <xf numFmtId="167" fontId="5" fillId="0" borderId="0" applyFill="0" applyBorder="0" applyAlignment="0"/>
    <xf numFmtId="167" fontId="5" fillId="0" borderId="0" applyFill="0" applyBorder="0" applyAlignment="0"/>
    <xf numFmtId="167" fontId="5" fillId="0" borderId="0" applyFill="0" applyBorder="0" applyAlignment="0"/>
    <xf numFmtId="0" fontId="31" fillId="77" borderId="9"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5" fillId="78" borderId="11" applyNumberFormat="0" applyAlignment="0" applyProtection="0"/>
    <xf numFmtId="0" fontId="55" fillId="78" borderId="11" applyNumberFormat="0" applyAlignment="0" applyProtection="0"/>
    <xf numFmtId="0" fontId="54" fillId="41" borderId="10" applyNumberFormat="0" applyAlignment="0" applyProtection="0"/>
    <xf numFmtId="0" fontId="55" fillId="78" borderId="11"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5" fillId="78" borderId="11"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4" fillId="41" borderId="10"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31" fillId="77" borderId="9" applyNumberFormat="0" applyAlignment="0" applyProtection="0"/>
    <xf numFmtId="0" fontId="31" fillId="77" borderId="9" applyNumberFormat="0" applyAlignment="0" applyProtection="0"/>
    <xf numFmtId="0" fontId="55" fillId="78" borderId="11" applyNumberFormat="0" applyAlignment="0" applyProtection="0"/>
    <xf numFmtId="0" fontId="55" fillId="78" borderId="11" applyNumberFormat="0" applyAlignment="0" applyProtection="0"/>
    <xf numFmtId="0" fontId="31" fillId="77" borderId="9" applyNumberFormat="0" applyAlignment="0" applyProtection="0"/>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wrapText="1"/>
    </xf>
    <xf numFmtId="179" fontId="5" fillId="0" borderId="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58" fillId="72" borderId="12" applyNumberFormat="0" applyAlignment="0" applyProtection="0"/>
    <xf numFmtId="0" fontId="58" fillId="72"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41" fontId="5" fillId="0" borderId="0" applyFont="0" applyFill="0" applyBorder="0" applyAlignment="0" applyProtection="0"/>
    <xf numFmtId="41" fontId="5" fillId="0" borderId="0" applyFont="0" applyFill="0" applyBorder="0" applyAlignment="0" applyProtection="0"/>
    <xf numFmtId="41"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5"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119" fillId="0" borderId="0" applyFont="0" applyFill="0" applyBorder="0" applyAlignment="0" applyProtection="0"/>
    <xf numFmtId="4"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9" fillId="0" borderId="0" applyFont="0" applyFill="0" applyBorder="0" applyAlignment="0" applyProtection="0"/>
    <xf numFmtId="43" fontId="5"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0" fontId="59" fillId="0" borderId="0" applyNumberFormat="0"/>
    <xf numFmtId="181" fontId="52" fillId="0" borderId="8"/>
    <xf numFmtId="44" fontId="119" fillId="0" borderId="0" applyFont="0" applyFill="0" applyBorder="0" applyAlignment="0" applyProtection="0"/>
    <xf numFmtId="44" fontId="119" fillId="0" borderId="0" applyFont="0" applyFill="0" applyBorder="0" applyAlignment="0" applyProtection="0"/>
    <xf numFmtId="44" fontId="5"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183" fontId="60" fillId="0" borderId="0" applyFont="0" applyFill="0" applyBorder="0" applyAlignment="0" applyProtection="0"/>
    <xf numFmtId="6" fontId="61" fillId="0" borderId="0">
      <protection locked="0"/>
    </xf>
    <xf numFmtId="14" fontId="5" fillId="0" borderId="0" applyFont="0" applyFill="0" applyBorder="0" applyAlignment="0" applyProtection="0"/>
    <xf numFmtId="14" fontId="5" fillId="0" borderId="0" applyFont="0" applyFill="0" applyBorder="0" applyAlignment="0" applyProtection="0"/>
    <xf numFmtId="6" fontId="61" fillId="0" borderId="0">
      <protection locked="0"/>
    </xf>
    <xf numFmtId="4" fontId="62" fillId="0" borderId="0" applyFont="0" applyFill="0" applyBorder="0" applyAlignment="0" applyProtection="0"/>
    <xf numFmtId="0" fontId="63" fillId="80" borderId="0" applyNumberFormat="0" applyBorder="0" applyAlignment="0" applyProtection="0"/>
    <xf numFmtId="0" fontId="63" fillId="81"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2" borderId="0" applyNumberFormat="0" applyBorder="0" applyAlignment="0" applyProtection="0"/>
    <xf numFmtId="0" fontId="63" fillId="83"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0" fontId="64" fillId="0" borderId="0" applyNumberFormat="0"/>
    <xf numFmtId="172"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5"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4" fontId="5" fillId="0" borderId="0">
      <protection locked="0"/>
    </xf>
    <xf numFmtId="184" fontId="5" fillId="0" borderId="0">
      <protection locked="0"/>
    </xf>
    <xf numFmtId="184" fontId="5" fillId="0" borderId="0">
      <protection locked="0"/>
    </xf>
    <xf numFmtId="184" fontId="5" fillId="0" borderId="0">
      <protection locked="0"/>
    </xf>
    <xf numFmtId="184" fontId="5" fillId="0" borderId="0">
      <protection locked="0"/>
    </xf>
    <xf numFmtId="184" fontId="5" fillId="0" borderId="0">
      <protection locked="0"/>
    </xf>
    <xf numFmtId="184" fontId="5" fillId="0" borderId="0">
      <protection locked="0"/>
    </xf>
    <xf numFmtId="0" fontId="62"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9" fontId="36" fillId="0" borderId="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4" applyNumberFormat="0" applyProtection="0"/>
    <xf numFmtId="0" fontId="69" fillId="0" borderId="15">
      <alignment horizontal="left" vertical="center"/>
    </xf>
    <xf numFmtId="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2" fontId="69" fillId="0" borderId="15">
      <alignment horizontal="left" vertical="center"/>
    </xf>
    <xf numFmtId="172"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0" fontId="69" fillId="0" borderId="15">
      <alignment horizontal="left" vertical="center"/>
    </xf>
    <xf numFmtId="17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175" fontId="69" fillId="0" borderId="15">
      <alignment horizontal="left" vertical="center"/>
    </xf>
    <xf numFmtId="175" fontId="69" fillId="0" borderId="15">
      <alignment horizontal="left" vertical="center"/>
    </xf>
    <xf numFmtId="175" fontId="69" fillId="0" borderId="15">
      <alignment horizontal="left" vertical="center"/>
    </xf>
    <xf numFmtId="175"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0" fontId="69" fillId="0" borderId="15">
      <alignment horizontal="left" vertical="center"/>
    </xf>
    <xf numFmtId="0" fontId="69" fillId="0" borderId="15">
      <alignment horizontal="left" vertical="center"/>
    </xf>
    <xf numFmtId="171" fontId="69" fillId="0" borderId="15">
      <alignment horizontal="left" vertical="center"/>
    </xf>
    <xf numFmtId="171" fontId="69" fillId="0" borderId="15">
      <alignment horizontal="left" vertical="center"/>
    </xf>
    <xf numFmtId="171" fontId="69" fillId="0" borderId="15">
      <alignment horizontal="left" vertical="center"/>
    </xf>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0" fillId="0" borderId="16"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20"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20"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2"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3"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3"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22"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185" fontId="5" fillId="0" borderId="0">
      <protection locked="0"/>
    </xf>
    <xf numFmtId="0" fontId="76" fillId="0" borderId="26">
      <alignment horizontal="center"/>
    </xf>
    <xf numFmtId="0" fontId="76" fillId="0" borderId="26">
      <alignment horizontal="center"/>
    </xf>
    <xf numFmtId="170" fontId="76" fillId="0" borderId="26">
      <alignment horizontal="center"/>
    </xf>
    <xf numFmtId="171" fontId="76" fillId="0" borderId="26">
      <alignment horizontal="center"/>
    </xf>
    <xf numFmtId="172" fontId="76" fillId="0" borderId="26">
      <alignment horizontal="center"/>
    </xf>
    <xf numFmtId="170" fontId="76" fillId="0" borderId="26">
      <alignment horizontal="center"/>
    </xf>
    <xf numFmtId="171" fontId="76" fillId="0" borderId="26">
      <alignment horizontal="center"/>
    </xf>
    <xf numFmtId="171" fontId="76" fillId="0" borderId="26">
      <alignment horizontal="center"/>
    </xf>
    <xf numFmtId="171" fontId="76" fillId="0" borderId="26">
      <alignment horizontal="center"/>
    </xf>
    <xf numFmtId="172" fontId="76" fillId="0" borderId="26">
      <alignment horizontal="center"/>
    </xf>
    <xf numFmtId="170" fontId="76" fillId="0" borderId="26">
      <alignment horizontal="center"/>
    </xf>
    <xf numFmtId="171" fontId="76" fillId="0" borderId="26">
      <alignment horizontal="center"/>
    </xf>
    <xf numFmtId="171" fontId="76" fillId="0" borderId="26">
      <alignment horizontal="center"/>
    </xf>
    <xf numFmtId="172" fontId="76" fillId="0" borderId="26">
      <alignment horizontal="center"/>
    </xf>
    <xf numFmtId="170" fontId="76" fillId="0" borderId="26">
      <alignment horizontal="center"/>
    </xf>
    <xf numFmtId="171" fontId="76" fillId="0" borderId="26">
      <alignment horizontal="center"/>
    </xf>
    <xf numFmtId="171" fontId="76" fillId="0" borderId="26">
      <alignment horizontal="center"/>
    </xf>
    <xf numFmtId="170" fontId="76" fillId="0" borderId="26">
      <alignment horizontal="center"/>
    </xf>
    <xf numFmtId="171" fontId="76" fillId="0" borderId="26">
      <alignment horizontal="center"/>
    </xf>
    <xf numFmtId="175" fontId="76" fillId="0" borderId="26">
      <alignment horizontal="center"/>
    </xf>
    <xf numFmtId="171" fontId="76" fillId="0" borderId="26">
      <alignment horizontal="center"/>
    </xf>
    <xf numFmtId="171" fontId="76" fillId="0" borderId="26">
      <alignment horizontal="center"/>
    </xf>
    <xf numFmtId="0" fontId="76" fillId="0" borderId="0">
      <alignment horizontal="center"/>
    </xf>
    <xf numFmtId="0" fontId="76" fillId="0" borderId="0">
      <alignment horizontal="center"/>
    </xf>
    <xf numFmtId="170" fontId="76" fillId="0" borderId="0">
      <alignment horizontal="center"/>
    </xf>
    <xf numFmtId="171" fontId="76" fillId="0" borderId="0">
      <alignment horizontal="center"/>
    </xf>
    <xf numFmtId="172" fontId="76" fillId="0" borderId="0">
      <alignment horizontal="center"/>
    </xf>
    <xf numFmtId="170" fontId="76" fillId="0" borderId="0">
      <alignment horizontal="center"/>
    </xf>
    <xf numFmtId="171" fontId="76" fillId="0" borderId="0">
      <alignment horizontal="center"/>
    </xf>
    <xf numFmtId="171" fontId="76" fillId="0" borderId="0">
      <alignment horizontal="center"/>
    </xf>
    <xf numFmtId="171" fontId="76" fillId="0" borderId="0">
      <alignment horizontal="center"/>
    </xf>
    <xf numFmtId="172" fontId="76" fillId="0" borderId="0">
      <alignment horizontal="center"/>
    </xf>
    <xf numFmtId="170" fontId="76" fillId="0" borderId="0">
      <alignment horizontal="center"/>
    </xf>
    <xf numFmtId="171" fontId="76" fillId="0" borderId="0">
      <alignment horizontal="center"/>
    </xf>
    <xf numFmtId="171" fontId="76" fillId="0" borderId="0">
      <alignment horizontal="center"/>
    </xf>
    <xf numFmtId="172" fontId="76" fillId="0" borderId="0">
      <alignment horizontal="center"/>
    </xf>
    <xf numFmtId="170" fontId="76" fillId="0" borderId="0">
      <alignment horizontal="center"/>
    </xf>
    <xf numFmtId="171" fontId="76" fillId="0" borderId="0">
      <alignment horizontal="center"/>
    </xf>
    <xf numFmtId="171" fontId="76" fillId="0" borderId="0">
      <alignment horizontal="center"/>
    </xf>
    <xf numFmtId="170" fontId="76" fillId="0" borderId="0">
      <alignment horizontal="center"/>
    </xf>
    <xf numFmtId="171" fontId="76" fillId="0" borderId="0">
      <alignment horizontal="center"/>
    </xf>
    <xf numFmtId="175" fontId="76" fillId="0" borderId="0">
      <alignment horizontal="center"/>
    </xf>
    <xf numFmtId="171" fontId="76" fillId="0" borderId="0">
      <alignment horizontal="center"/>
    </xf>
    <xf numFmtId="171" fontId="76" fillId="0" borderId="0">
      <alignment horizontal="center"/>
    </xf>
    <xf numFmtId="0" fontId="62" fillId="0" borderId="0" applyProtection="0">
      <alignment horizontal="right"/>
    </xf>
    <xf numFmtId="0" fontId="62" fillId="0" borderId="0" applyProtection="0">
      <alignment horizontal="right"/>
    </xf>
    <xf numFmtId="170" fontId="62" fillId="0" borderId="0" applyProtection="0">
      <alignment horizontal="right"/>
    </xf>
    <xf numFmtId="171" fontId="62" fillId="0" borderId="0" applyProtection="0">
      <alignment horizontal="right"/>
    </xf>
    <xf numFmtId="172" fontId="62" fillId="0" borderId="0" applyProtection="0">
      <alignment horizontal="right"/>
    </xf>
    <xf numFmtId="170" fontId="62" fillId="0" borderId="0" applyProtection="0">
      <alignment horizontal="right"/>
    </xf>
    <xf numFmtId="171" fontId="62" fillId="0" borderId="0" applyProtection="0">
      <alignment horizontal="right"/>
    </xf>
    <xf numFmtId="171" fontId="62" fillId="0" borderId="0" applyProtection="0">
      <alignment horizontal="right"/>
    </xf>
    <xf numFmtId="171" fontId="62" fillId="0" borderId="0" applyProtection="0">
      <alignment horizontal="right"/>
    </xf>
    <xf numFmtId="172" fontId="62" fillId="0" borderId="0" applyProtection="0">
      <alignment horizontal="right"/>
    </xf>
    <xf numFmtId="170" fontId="62" fillId="0" borderId="0" applyProtection="0">
      <alignment horizontal="right"/>
    </xf>
    <xf numFmtId="171" fontId="62" fillId="0" borderId="0" applyProtection="0">
      <alignment horizontal="right"/>
    </xf>
    <xf numFmtId="171" fontId="62" fillId="0" borderId="0" applyProtection="0">
      <alignment horizontal="right"/>
    </xf>
    <xf numFmtId="170" fontId="62" fillId="0" borderId="0" applyProtection="0">
      <alignment horizontal="right"/>
    </xf>
    <xf numFmtId="171" fontId="62" fillId="0" borderId="0" applyProtection="0">
      <alignment horizontal="right"/>
    </xf>
    <xf numFmtId="175" fontId="62" fillId="0" borderId="0" applyProtection="0">
      <alignment horizontal="right"/>
    </xf>
    <xf numFmtId="171" fontId="62" fillId="0" borderId="0" applyProtection="0">
      <alignment horizontal="right"/>
    </xf>
    <xf numFmtId="171" fontId="62" fillId="0" borderId="0" applyProtection="0">
      <alignment horizontal="right"/>
    </xf>
    <xf numFmtId="186" fontId="5" fillId="0" borderId="0" applyFont="0" applyFill="0" applyBorder="0" applyAlignment="0" applyProtection="0"/>
    <xf numFmtId="186" fontId="5" fillId="0" borderId="0" applyFont="0" applyFill="0" applyBorder="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39" fontId="78" fillId="0" borderId="0">
      <protection locked="0"/>
    </xf>
    <xf numFmtId="169" fontId="78" fillId="0" borderId="0"/>
    <xf numFmtId="37" fontId="79" fillId="0" borderId="0"/>
    <xf numFmtId="37" fontId="79" fillId="0" borderId="0"/>
    <xf numFmtId="0" fontId="80" fillId="0" borderId="0" applyNumberFormat="0" applyFill="0" applyBorder="0">
      <protection locked="0"/>
    </xf>
    <xf numFmtId="170" fontId="81" fillId="0" borderId="0" applyFill="0" applyBorder="0" applyProtection="0"/>
    <xf numFmtId="171" fontId="81" fillId="0" borderId="0" applyFill="0" applyBorder="0" applyProtection="0"/>
    <xf numFmtId="0" fontId="47" fillId="25" borderId="8" applyNumberFormat="0" applyBorder="0" applyAlignment="0" applyProtection="0"/>
    <xf numFmtId="0" fontId="47" fillId="25" borderId="8" applyNumberFormat="0" applyBorder="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187" fontId="84" fillId="0" borderId="0" applyFont="0" applyFill="0" applyBorder="0" applyProtection="0">
      <alignment horizontal="center"/>
    </xf>
    <xf numFmtId="0" fontId="36" fillId="87" borderId="0" applyNumberFormat="0" applyFont="0" applyBorder="0" applyProtection="0"/>
    <xf numFmtId="0" fontId="36" fillId="87" borderId="0" applyNumberFormat="0" applyFont="0" applyBorder="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67" fillId="0" borderId="29"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67" fillId="0" borderId="29"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5" fillId="0" borderId="28"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170" fontId="87" fillId="88" borderId="0">
      <alignment horizontal="right"/>
    </xf>
    <xf numFmtId="171" fontId="87" fillId="88" borderId="0">
      <alignment horizontal="right"/>
    </xf>
    <xf numFmtId="17" fontId="88" fillId="0" borderId="0" applyFont="0" applyFill="0" applyBorder="0">
      <protection locked="0"/>
    </xf>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67"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67"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67" fillId="33" borderId="0" applyNumberFormat="0" applyBorder="0" applyAlignment="0" applyProtection="0"/>
    <xf numFmtId="0" fontId="67" fillId="33" borderId="0" applyNumberFormat="0" applyBorder="0" applyAlignment="0" applyProtection="0"/>
    <xf numFmtId="0" fontId="67" fillId="33"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37" fontId="90" fillId="0" borderId="0"/>
    <xf numFmtId="188" fontId="91" fillId="0" borderId="0"/>
    <xf numFmtId="189" fontId="5" fillId="0" borderId="0"/>
    <xf numFmtId="189" fontId="5" fillId="0" borderId="0"/>
    <xf numFmtId="190" fontId="5" fillId="0" borderId="0"/>
    <xf numFmtId="190" fontId="5" fillId="0" borderId="0"/>
    <xf numFmtId="190" fontId="5" fillId="0" borderId="0"/>
    <xf numFmtId="190" fontId="5" fillId="0" borderId="0"/>
    <xf numFmtId="0" fontId="119" fillId="0" borderId="0"/>
    <xf numFmtId="170" fontId="119" fillId="0" borderId="0"/>
    <xf numFmtId="171" fontId="119" fillId="0" borderId="0"/>
    <xf numFmtId="172" fontId="119" fillId="0" borderId="0"/>
    <xf numFmtId="170" fontId="119" fillId="0" borderId="0"/>
    <xf numFmtId="171" fontId="119" fillId="0" borderId="0"/>
    <xf numFmtId="171" fontId="119" fillId="0" borderId="0"/>
    <xf numFmtId="171" fontId="119"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19" fillId="0" borderId="0"/>
    <xf numFmtId="171" fontId="119" fillId="0" borderId="0"/>
    <xf numFmtId="172" fontId="119" fillId="0" borderId="0"/>
    <xf numFmtId="170" fontId="119" fillId="0" borderId="0"/>
    <xf numFmtId="171" fontId="119" fillId="0" borderId="0"/>
    <xf numFmtId="171" fontId="119" fillId="0" borderId="0"/>
    <xf numFmtId="0" fontId="5" fillId="0" borderId="0"/>
    <xf numFmtId="170" fontId="5" fillId="0" borderId="0"/>
    <xf numFmtId="171" fontId="5" fillId="0" borderId="0"/>
    <xf numFmtId="171" fontId="5" fillId="0" borderId="0"/>
    <xf numFmtId="175" fontId="119" fillId="0" borderId="0"/>
    <xf numFmtId="0" fontId="119" fillId="0" borderId="0"/>
    <xf numFmtId="171" fontId="119" fillId="0" borderId="0"/>
    <xf numFmtId="171" fontId="119" fillId="0" borderId="0"/>
    <xf numFmtId="171" fontId="119" fillId="0" borderId="0"/>
    <xf numFmtId="176" fontId="119"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119" fillId="0" borderId="0"/>
    <xf numFmtId="171" fontId="119" fillId="0" borderId="0"/>
    <xf numFmtId="172" fontId="119" fillId="0" borderId="0"/>
    <xf numFmtId="170" fontId="119" fillId="0" borderId="0"/>
    <xf numFmtId="171" fontId="119" fillId="0" borderId="0"/>
    <xf numFmtId="171" fontId="119" fillId="0" borderId="0"/>
    <xf numFmtId="171" fontId="119" fillId="0" borderId="0"/>
    <xf numFmtId="0" fontId="119"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19" fillId="0" borderId="0"/>
    <xf numFmtId="171" fontId="119" fillId="0" borderId="0"/>
    <xf numFmtId="172" fontId="119" fillId="0" borderId="0"/>
    <xf numFmtId="170" fontId="119" fillId="0" borderId="0"/>
    <xf numFmtId="171" fontId="119" fillId="0" borderId="0"/>
    <xf numFmtId="171" fontId="119" fillId="0" borderId="0"/>
    <xf numFmtId="0" fontId="47" fillId="68" borderId="0"/>
    <xf numFmtId="170" fontId="47" fillId="68" borderId="0"/>
    <xf numFmtId="171" fontId="47" fillId="68" borderId="0"/>
    <xf numFmtId="171" fontId="47" fillId="68" borderId="0"/>
    <xf numFmtId="175" fontId="47" fillId="68" borderId="0"/>
    <xf numFmtId="171" fontId="47" fillId="68" borderId="0"/>
    <xf numFmtId="171" fontId="119" fillId="0" borderId="0"/>
    <xf numFmtId="0" fontId="119"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119" fillId="0" borderId="0"/>
    <xf numFmtId="170" fontId="119" fillId="0" borderId="0"/>
    <xf numFmtId="171" fontId="119" fillId="0" borderId="0"/>
    <xf numFmtId="172" fontId="119" fillId="0" borderId="0"/>
    <xf numFmtId="170" fontId="119" fillId="0" borderId="0"/>
    <xf numFmtId="171" fontId="119" fillId="0" borderId="0"/>
    <xf numFmtId="171" fontId="119" fillId="0" borderId="0"/>
    <xf numFmtId="171" fontId="119"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19" fillId="0" borderId="0"/>
    <xf numFmtId="171" fontId="119" fillId="0" borderId="0"/>
    <xf numFmtId="172" fontId="119" fillId="0" borderId="0"/>
    <xf numFmtId="170" fontId="119" fillId="0" borderId="0"/>
    <xf numFmtId="171" fontId="119" fillId="0" borderId="0"/>
    <xf numFmtId="171" fontId="119" fillId="0" borderId="0"/>
    <xf numFmtId="0" fontId="47" fillId="68" borderId="0"/>
    <xf numFmtId="170" fontId="47" fillId="68" borderId="0"/>
    <xf numFmtId="171" fontId="47" fillId="68" borderId="0"/>
    <xf numFmtId="171" fontId="47" fillId="68" borderId="0"/>
    <xf numFmtId="175" fontId="119" fillId="0" borderId="0"/>
    <xf numFmtId="171" fontId="119" fillId="0" borderId="0"/>
    <xf numFmtId="171" fontId="119" fillId="0" borderId="0"/>
    <xf numFmtId="0" fontId="119" fillId="0" borderId="0"/>
    <xf numFmtId="0"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119" fillId="0" borderId="0"/>
    <xf numFmtId="170" fontId="119" fillId="0" borderId="0"/>
    <xf numFmtId="171" fontId="119" fillId="0" borderId="0"/>
    <xf numFmtId="172" fontId="119" fillId="0" borderId="0"/>
    <xf numFmtId="170" fontId="119" fillId="0" borderId="0"/>
    <xf numFmtId="171" fontId="119" fillId="0" borderId="0"/>
    <xf numFmtId="171" fontId="119" fillId="0" borderId="0"/>
    <xf numFmtId="171" fontId="119" fillId="0" borderId="0"/>
    <xf numFmtId="172"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170" fontId="119" fillId="0" borderId="0"/>
    <xf numFmtId="171" fontId="119" fillId="0" borderId="0"/>
    <xf numFmtId="172" fontId="119" fillId="0" borderId="0"/>
    <xf numFmtId="170" fontId="119" fillId="0" borderId="0"/>
    <xf numFmtId="171" fontId="119" fillId="0" borderId="0"/>
    <xf numFmtId="171" fontId="119" fillId="0" borderId="0"/>
    <xf numFmtId="0" fontId="47" fillId="68" borderId="0"/>
    <xf numFmtId="170" fontId="47" fillId="68" borderId="0"/>
    <xf numFmtId="171" fontId="47" fillId="68" borderId="0"/>
    <xf numFmtId="171" fontId="47" fillId="68" borderId="0"/>
    <xf numFmtId="175" fontId="47" fillId="68" borderId="0"/>
    <xf numFmtId="171" fontId="47" fillId="68" borderId="0"/>
    <xf numFmtId="171" fontId="119" fillId="0" borderId="0"/>
    <xf numFmtId="0" fontId="119"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171" fontId="5" fillId="0" borderId="0"/>
    <xf numFmtId="172" fontId="5" fillId="0" borderId="0"/>
    <xf numFmtId="170" fontId="5" fillId="0" borderId="0"/>
    <xf numFmtId="171" fontId="5" fillId="0" borderId="0"/>
    <xf numFmtId="172"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0" fontId="47" fillId="68" borderId="0"/>
    <xf numFmtId="170" fontId="47" fillId="68" borderId="0"/>
    <xf numFmtId="170" fontId="47" fillId="68" borderId="0"/>
    <xf numFmtId="171" fontId="47" fillId="68" borderId="0"/>
    <xf numFmtId="0" fontId="119" fillId="0" borderId="0"/>
    <xf numFmtId="170" fontId="119" fillId="0" borderId="0"/>
    <xf numFmtId="171" fontId="119" fillId="0" borderId="0"/>
    <xf numFmtId="171" fontId="119" fillId="0" borderId="0"/>
    <xf numFmtId="171" fontId="47" fillId="68" borderId="0"/>
    <xf numFmtId="0" fontId="47" fillId="68" borderId="0"/>
    <xf numFmtId="170" fontId="47" fillId="68" borderId="0"/>
    <xf numFmtId="171" fontId="47" fillId="68" borderId="0"/>
    <xf numFmtId="171" fontId="47" fillId="68" borderId="0"/>
    <xf numFmtId="0" fontId="119" fillId="0" borderId="0"/>
    <xf numFmtId="170" fontId="119" fillId="0" borderId="0"/>
    <xf numFmtId="171" fontId="119" fillId="0" borderId="0"/>
    <xf numFmtId="171" fontId="119" fillId="0" borderId="0"/>
    <xf numFmtId="171" fontId="47" fillId="68" borderId="0"/>
    <xf numFmtId="175" fontId="119" fillId="0" borderId="0"/>
    <xf numFmtId="171" fontId="119" fillId="0" borderId="0"/>
    <xf numFmtId="171" fontId="119" fillId="0" borderId="0"/>
    <xf numFmtId="0" fontId="119"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7" fillId="0" borderId="0"/>
    <xf numFmtId="0"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0" fontId="47" fillId="68" borderId="0"/>
    <xf numFmtId="170" fontId="47" fillId="68" borderId="0"/>
    <xf numFmtId="170" fontId="47" fillId="68" borderId="0"/>
    <xf numFmtId="171" fontId="47" fillId="68" borderId="0"/>
    <xf numFmtId="0" fontId="119" fillId="0" borderId="0"/>
    <xf numFmtId="170" fontId="119" fillId="0" borderId="0"/>
    <xf numFmtId="171" fontId="119" fillId="0" borderId="0"/>
    <xf numFmtId="171" fontId="119" fillId="0" borderId="0"/>
    <xf numFmtId="171" fontId="47" fillId="68" borderId="0"/>
    <xf numFmtId="0" fontId="47" fillId="68" borderId="0"/>
    <xf numFmtId="170" fontId="47" fillId="68" borderId="0"/>
    <xf numFmtId="171" fontId="47" fillId="68" borderId="0"/>
    <xf numFmtId="171" fontId="47" fillId="68" borderId="0"/>
    <xf numFmtId="0" fontId="119" fillId="0" borderId="0"/>
    <xf numFmtId="170" fontId="119" fillId="0" borderId="0"/>
    <xf numFmtId="171" fontId="119" fillId="0" borderId="0"/>
    <xf numFmtId="171" fontId="119" fillId="0" borderId="0"/>
    <xf numFmtId="171" fontId="47" fillId="68" borderId="0"/>
    <xf numFmtId="171" fontId="119" fillId="0" borderId="0"/>
    <xf numFmtId="0" fontId="119"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0" fontId="119"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0" fontId="119"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119"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0" fontId="119"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119"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47" fillId="68" borderId="0"/>
    <xf numFmtId="171" fontId="47" fillId="68" borderId="0"/>
    <xf numFmtId="171" fontId="5" fillId="0" borderId="0"/>
    <xf numFmtId="176" fontId="47" fillId="68" borderId="0"/>
    <xf numFmtId="191" fontId="119" fillId="0" borderId="0"/>
    <xf numFmtId="0" fontId="119" fillId="0" borderId="0"/>
    <xf numFmtId="19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0"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0"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175" fontId="119" fillId="0" borderId="0"/>
    <xf numFmtId="171" fontId="119" fillId="0" borderId="0"/>
    <xf numFmtId="171" fontId="5" fillId="0" borderId="0"/>
    <xf numFmtId="0" fontId="5" fillId="0" borderId="0"/>
    <xf numFmtId="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5" fontId="5" fillId="0" borderId="0"/>
    <xf numFmtId="171" fontId="5" fillId="0" borderId="0"/>
    <xf numFmtId="171" fontId="5" fillId="0" borderId="0"/>
    <xf numFmtId="0" fontId="5" fillId="0" borderId="0"/>
    <xf numFmtId="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0"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0"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0"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170" fontId="5" fillId="0" borderId="0"/>
    <xf numFmtId="0" fontId="119" fillId="0" borderId="0"/>
    <xf numFmtId="0" fontId="119" fillId="0" borderId="0"/>
    <xf numFmtId="0" fontId="119" fillId="0" borderId="0"/>
    <xf numFmtId="0" fontId="119" fillId="0" borderId="0"/>
    <xf numFmtId="0" fontId="119" fillId="0" borderId="0"/>
    <xf numFmtId="0" fontId="119" fillId="0" borderId="0"/>
    <xf numFmtId="170" fontId="5"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171" fontId="5"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171"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170" fontId="119" fillId="0" borderId="0"/>
    <xf numFmtId="0" fontId="119" fillId="0" borderId="0"/>
    <xf numFmtId="0" fontId="119" fillId="0" borderId="0"/>
    <xf numFmtId="0" fontId="119" fillId="0" borderId="0"/>
    <xf numFmtId="0" fontId="119" fillId="0" borderId="0"/>
    <xf numFmtId="0" fontId="119" fillId="0" borderId="0"/>
    <xf numFmtId="171"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171"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170" fontId="119" fillId="0" borderId="0"/>
    <xf numFmtId="0" fontId="119" fillId="0" borderId="0"/>
    <xf numFmtId="0" fontId="119" fillId="0" borderId="0"/>
    <xf numFmtId="0" fontId="119" fillId="0" borderId="0"/>
    <xf numFmtId="0" fontId="119" fillId="0" borderId="0"/>
    <xf numFmtId="0" fontId="119" fillId="0" borderId="0"/>
    <xf numFmtId="171"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171" fontId="5"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5" fillId="0" borderId="0"/>
    <xf numFmtId="170" fontId="5" fillId="0" borderId="0"/>
    <xf numFmtId="171" fontId="5" fillId="0" borderId="0"/>
    <xf numFmtId="171" fontId="5" fillId="0" borderId="0"/>
    <xf numFmtId="175" fontId="119" fillId="0" borderId="0"/>
    <xf numFmtId="0" fontId="5" fillId="0" borderId="0"/>
    <xf numFmtId="171" fontId="5" fillId="0" borderId="0"/>
    <xf numFmtId="171" fontId="119" fillId="0" borderId="0"/>
    <xf numFmtId="0" fontId="5" fillId="0" borderId="0"/>
    <xf numFmtId="171" fontId="5" fillId="0" borderId="0"/>
    <xf numFmtId="0" fontId="5" fillId="0" borderId="0"/>
    <xf numFmtId="0" fontId="119"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119"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119"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119"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1" fontId="5" fillId="0" borderId="0"/>
    <xf numFmtId="176" fontId="5" fillId="0" borderId="0"/>
    <xf numFmtId="191" fontId="119" fillId="0" borderId="0"/>
    <xf numFmtId="0" fontId="5" fillId="0" borderId="0"/>
    <xf numFmtId="0" fontId="5"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0" fontId="119" fillId="0" borderId="0"/>
    <xf numFmtId="170" fontId="92" fillId="0" borderId="0"/>
    <xf numFmtId="170" fontId="92" fillId="0" borderId="0"/>
    <xf numFmtId="171" fontId="92"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92" fillId="0" borderId="0"/>
    <xf numFmtId="172" fontId="92" fillId="0" borderId="0"/>
    <xf numFmtId="170" fontId="92" fillId="0" borderId="0"/>
    <xf numFmtId="170" fontId="92" fillId="0" borderId="0"/>
    <xf numFmtId="171" fontId="92" fillId="0" borderId="0"/>
    <xf numFmtId="0" fontId="119" fillId="0" borderId="0"/>
    <xf numFmtId="170" fontId="119" fillId="0" borderId="0"/>
    <xf numFmtId="171" fontId="119" fillId="0" borderId="0"/>
    <xf numFmtId="171" fontId="119" fillId="0" borderId="0"/>
    <xf numFmtId="171" fontId="92" fillId="0" borderId="0"/>
    <xf numFmtId="172" fontId="92" fillId="0" borderId="0"/>
    <xf numFmtId="170" fontId="92" fillId="0" borderId="0"/>
    <xf numFmtId="171" fontId="92" fillId="0" borderId="0"/>
    <xf numFmtId="171" fontId="92"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92" fillId="0" borderId="0"/>
    <xf numFmtId="0" fontId="92" fillId="0" borderId="0"/>
    <xf numFmtId="170" fontId="92" fillId="0" borderId="0"/>
    <xf numFmtId="171" fontId="92" fillId="0" borderId="0"/>
    <xf numFmtId="171" fontId="92" fillId="0" borderId="0"/>
    <xf numFmtId="171" fontId="92" fillId="0" borderId="0"/>
    <xf numFmtId="0" fontId="92" fillId="0" borderId="0"/>
    <xf numFmtId="0" fontId="5"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1" fillId="0" borderId="0"/>
    <xf numFmtId="170" fontId="1" fillId="0" borderId="0"/>
    <xf numFmtId="170" fontId="1" fillId="0" borderId="0"/>
    <xf numFmtId="171" fontId="1" fillId="0" borderId="0"/>
    <xf numFmtId="0" fontId="119" fillId="0" borderId="0"/>
    <xf numFmtId="170" fontId="119" fillId="0" borderId="0"/>
    <xf numFmtId="171" fontId="119" fillId="0" borderId="0"/>
    <xf numFmtId="171" fontId="119" fillId="0" borderId="0"/>
    <xf numFmtId="171" fontId="1" fillId="0" borderId="0"/>
    <xf numFmtId="0" fontId="1" fillId="0" borderId="0"/>
    <xf numFmtId="170" fontId="1" fillId="0" borderId="0"/>
    <xf numFmtId="171" fontId="1" fillId="0" borderId="0"/>
    <xf numFmtId="171" fontId="1" fillId="0" borderId="0"/>
    <xf numFmtId="0" fontId="119" fillId="0" borderId="0"/>
    <xf numFmtId="170" fontId="119" fillId="0" borderId="0"/>
    <xf numFmtId="171" fontId="119" fillId="0" borderId="0"/>
    <xf numFmtId="171" fontId="119" fillId="0" borderId="0"/>
    <xf numFmtId="171" fontId="1" fillId="0" borderId="0"/>
    <xf numFmtId="0" fontId="5" fillId="0" borderId="0"/>
    <xf numFmtId="170" fontId="5" fillId="0" borderId="0"/>
    <xf numFmtId="171" fontId="5" fillId="0" borderId="0"/>
    <xf numFmtId="171" fontId="5" fillId="0" borderId="0"/>
    <xf numFmtId="175" fontId="5"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1" fontId="119"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5" fontId="119" fillId="0" borderId="0"/>
    <xf numFmtId="171" fontId="119" fillId="0" borderId="0"/>
    <xf numFmtId="171" fontId="5" fillId="0" borderId="0"/>
    <xf numFmtId="191" fontId="119"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5" fontId="5" fillId="0" borderId="0"/>
    <xf numFmtId="171" fontId="5"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2"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0" fontId="119" fillId="0" borderId="0"/>
    <xf numFmtId="170" fontId="119" fillId="0" borderId="0"/>
    <xf numFmtId="171" fontId="119"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0"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0" fontId="5" fillId="0" borderId="0"/>
    <xf numFmtId="171" fontId="5" fillId="0" borderId="0"/>
    <xf numFmtId="0" fontId="119" fillId="0" borderId="0"/>
    <xf numFmtId="170" fontId="119" fillId="0" borderId="0"/>
    <xf numFmtId="171" fontId="119" fillId="0" borderId="0"/>
    <xf numFmtId="171" fontId="119" fillId="0" borderId="0"/>
    <xf numFmtId="171" fontId="5" fillId="0" borderId="0"/>
    <xf numFmtId="172"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171" fontId="5" fillId="0" borderId="0"/>
    <xf numFmtId="0" fontId="5" fillId="0" borderId="0"/>
    <xf numFmtId="170" fontId="5" fillId="0" borderId="0"/>
    <xf numFmtId="171" fontId="5" fillId="0" borderId="0"/>
    <xf numFmtId="171" fontId="5" fillId="0" borderId="0"/>
    <xf numFmtId="0" fontId="119" fillId="0" borderId="0"/>
    <xf numFmtId="170" fontId="119" fillId="0" borderId="0"/>
    <xf numFmtId="171" fontId="119" fillId="0" borderId="0"/>
    <xf numFmtId="171" fontId="119" fillId="0" borderId="0"/>
    <xf numFmtId="0" fontId="119" fillId="0" borderId="0"/>
    <xf numFmtId="170" fontId="119" fillId="0" borderId="0"/>
    <xf numFmtId="171" fontId="119" fillId="0" borderId="0"/>
    <xf numFmtId="171" fontId="119" fillId="0" borderId="0"/>
    <xf numFmtId="0" fontId="5" fillId="0" borderId="0"/>
    <xf numFmtId="170" fontId="5" fillId="0" borderId="0"/>
    <xf numFmtId="0" fontId="5" fillId="0" borderId="0"/>
    <xf numFmtId="9" fontId="5" fillId="0" borderId="0" applyFont="0" applyFill="0" applyBorder="0" applyAlignment="0" applyProtection="0"/>
    <xf numFmtId="9" fontId="21" fillId="0" borderId="0" applyFont="0" applyFill="0" applyBorder="0" applyAlignment="0" applyProtection="0"/>
    <xf numFmtId="44" fontId="5" fillId="0" borderId="0" applyFont="0" applyFill="0" applyBorder="0" applyAlignment="0" applyProtection="0"/>
    <xf numFmtId="0" fontId="101" fillId="0" borderId="0" applyNumberFormat="0" applyFill="0" applyBorder="0" applyAlignment="0" applyProtection="0"/>
    <xf numFmtId="0" fontId="5" fillId="0" borderId="0"/>
    <xf numFmtId="0" fontId="47" fillId="0" borderId="0"/>
    <xf numFmtId="9" fontId="1" fillId="0" borderId="0" applyFont="0" applyFill="0" applyBorder="0" applyAlignment="0" applyProtection="0"/>
    <xf numFmtId="0" fontId="1" fillId="0" borderId="0"/>
    <xf numFmtId="0" fontId="10" fillId="2" borderId="1" applyNumberFormat="0" applyProtection="0"/>
    <xf numFmtId="0" fontId="19" fillId="12" borderId="5" applyNumberFormat="0" applyBorder="0" applyProtection="0"/>
    <xf numFmtId="0" fontId="10" fillId="2" borderId="3" applyNumberForma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cellStyleXfs>
  <cellXfs count="880">
    <xf numFmtId="0" fontId="0" fillId="0" borderId="0" xfId="0"/>
    <xf numFmtId="0" fontId="20" fillId="0" borderId="0" xfId="47" applyFont="1" applyAlignment="1">
      <alignment horizontal="left"/>
    </xf>
    <xf numFmtId="0" fontId="20" fillId="0" borderId="0" xfId="0" applyFont="1" applyAlignment="1">
      <alignment horizontal="left"/>
    </xf>
    <xf numFmtId="0" fontId="20" fillId="0" borderId="0" xfId="0" applyFont="1" applyAlignment="1">
      <alignment horizontal="left" wrapText="1"/>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0" fontId="0" fillId="0" borderId="0" xfId="0" applyAlignment="1">
      <alignment horizontal="left" wrapText="1"/>
    </xf>
    <xf numFmtId="0" fontId="2" fillId="0" borderId="0" xfId="0" applyFont="1" applyAlignment="1">
      <alignment horizontal="center"/>
    </xf>
    <xf numFmtId="0" fontId="95" fillId="0" borderId="0" xfId="0" applyFont="1" applyAlignment="1">
      <alignment horizontal="center"/>
    </xf>
    <xf numFmtId="0" fontId="94" fillId="0" borderId="0" xfId="0" applyFont="1" applyAlignment="1">
      <alignment horizontal="center"/>
    </xf>
    <xf numFmtId="0" fontId="3" fillId="0" borderId="0" xfId="0" applyFont="1"/>
    <xf numFmtId="0" fontId="2" fillId="0" borderId="0" xfId="0" applyFont="1"/>
    <xf numFmtId="0" fontId="4"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4" fillId="0" borderId="0" xfId="0" applyFont="1"/>
    <xf numFmtId="0" fontId="20" fillId="0" borderId="0" xfId="0" applyFont="1"/>
    <xf numFmtId="0" fontId="20" fillId="0" borderId="0" xfId="0" applyFont="1" applyAlignment="1">
      <alignment horizontal="left" indent="1"/>
    </xf>
    <xf numFmtId="167" fontId="0" fillId="0" borderId="0" xfId="1" applyNumberFormat="1" applyFont="1"/>
    <xf numFmtId="164" fontId="0" fillId="0" borderId="0" xfId="0" applyNumberFormat="1"/>
    <xf numFmtId="166" fontId="0" fillId="0" borderId="0" xfId="4" applyNumberFormat="1" applyFont="1"/>
    <xf numFmtId="5" fontId="0" fillId="0" borderId="0" xfId="4" applyNumberFormat="1" applyFont="1"/>
    <xf numFmtId="5" fontId="0" fillId="0" borderId="32" xfId="4" applyNumberFormat="1" applyFont="1" applyBorder="1"/>
    <xf numFmtId="5" fontId="2" fillId="0" borderId="0" xfId="4" applyNumberFormat="1" applyFont="1"/>
    <xf numFmtId="6" fontId="2" fillId="0" borderId="0" xfId="0" applyNumberFormat="1" applyFont="1"/>
    <xf numFmtId="5" fontId="0" fillId="0" borderId="32" xfId="4" applyNumberFormat="1" applyFont="1" applyFill="1" applyBorder="1"/>
    <xf numFmtId="0" fontId="20" fillId="0" borderId="0" xfId="0" applyFont="1" applyAlignment="1">
      <alignment horizontal="center"/>
    </xf>
    <xf numFmtId="10" fontId="0" fillId="0" borderId="0" xfId="1" applyNumberFormat="1" applyFont="1"/>
    <xf numFmtId="10" fontId="0" fillId="0" borderId="0" xfId="1" applyNumberFormat="1" applyFont="1" applyFill="1"/>
    <xf numFmtId="0" fontId="0" fillId="0" borderId="0" xfId="0" applyAlignment="1">
      <alignment horizontal="center"/>
    </xf>
    <xf numFmtId="10" fontId="0" fillId="0" borderId="0" xfId="0" applyNumberFormat="1"/>
    <xf numFmtId="5" fontId="0" fillId="0" borderId="0" xfId="4" applyNumberFormat="1" applyFont="1" applyFill="1"/>
    <xf numFmtId="5" fontId="0" fillId="0" borderId="0" xfId="0" applyNumberFormat="1"/>
    <xf numFmtId="10" fontId="0" fillId="0" borderId="32" xfId="1" applyNumberFormat="1" applyFont="1" applyBorder="1"/>
    <xf numFmtId="0" fontId="0" fillId="0" borderId="0" xfId="0" applyAlignment="1">
      <alignment horizontal="left" indent="1"/>
    </xf>
    <xf numFmtId="165" fontId="0" fillId="0" borderId="0" xfId="2" applyNumberFormat="1" applyFont="1"/>
    <xf numFmtId="8" fontId="0" fillId="0" borderId="0" xfId="0" applyNumberFormat="1"/>
    <xf numFmtId="44" fontId="0" fillId="0" borderId="0" xfId="0" applyNumberFormat="1"/>
    <xf numFmtId="166" fontId="0" fillId="0" borderId="0" xfId="4" applyNumberFormat="1" applyFont="1" applyFill="1"/>
    <xf numFmtId="7" fontId="0" fillId="0" borderId="0" xfId="0" applyNumberFormat="1"/>
    <xf numFmtId="10" fontId="0" fillId="0" borderId="32" xfId="0" applyNumberFormat="1" applyBorder="1"/>
    <xf numFmtId="167" fontId="0" fillId="0" borderId="32" xfId="1" applyNumberFormat="1" applyFont="1" applyBorder="1"/>
    <xf numFmtId="44" fontId="0" fillId="0" borderId="0" xfId="2" applyFont="1"/>
    <xf numFmtId="0" fontId="23" fillId="0" borderId="0" xfId="0" applyFont="1"/>
    <xf numFmtId="0" fontId="0" fillId="0" borderId="0" xfId="0" applyAlignment="1">
      <alignment wrapText="1"/>
    </xf>
    <xf numFmtId="5" fontId="0" fillId="0" borderId="0" xfId="0" applyNumberFormat="1" applyAlignment="1">
      <alignment horizontal="center"/>
    </xf>
    <xf numFmtId="0" fontId="2" fillId="91" borderId="0" xfId="0" applyFont="1" applyFill="1"/>
    <xf numFmtId="0" fontId="2" fillId="91" borderId="0" xfId="0" applyFont="1" applyFill="1" applyAlignment="1">
      <alignment horizontal="left"/>
    </xf>
    <xf numFmtId="5" fontId="0" fillId="91" borderId="32" xfId="4" applyNumberFormat="1" applyFont="1" applyFill="1" applyBorder="1"/>
    <xf numFmtId="0" fontId="0" fillId="91" borderId="0" xfId="0" applyFill="1"/>
    <xf numFmtId="10" fontId="0" fillId="91" borderId="0" xfId="1" applyNumberFormat="1" applyFont="1" applyFill="1"/>
    <xf numFmtId="5" fontId="0" fillId="91" borderId="0" xfId="4" applyNumberFormat="1" applyFont="1" applyFill="1"/>
    <xf numFmtId="0" fontId="2" fillId="92" borderId="0" xfId="0" applyFont="1" applyFill="1" applyAlignment="1">
      <alignment horizontal="left"/>
    </xf>
    <xf numFmtId="0" fontId="0" fillId="92" borderId="0" xfId="0" applyFill="1" applyAlignment="1">
      <alignment horizontal="left"/>
    </xf>
    <xf numFmtId="0" fontId="0" fillId="92" borderId="0" xfId="0" applyFill="1"/>
    <xf numFmtId="0" fontId="0" fillId="91" borderId="32" xfId="0" applyFill="1" applyBorder="1" applyAlignment="1">
      <alignment horizontal="center"/>
    </xf>
    <xf numFmtId="0" fontId="0" fillId="91" borderId="0" xfId="0" applyFill="1" applyAlignment="1">
      <alignment horizontal="center"/>
    </xf>
    <xf numFmtId="0" fontId="2" fillId="92" borderId="0" xfId="0" applyFont="1" applyFill="1"/>
    <xf numFmtId="7" fontId="0" fillId="92" borderId="0" xfId="0" applyNumberFormat="1" applyFill="1"/>
    <xf numFmtId="164" fontId="0" fillId="92" borderId="0" xfId="0" applyNumberFormat="1" applyFill="1"/>
    <xf numFmtId="7" fontId="2" fillId="0" borderId="0" xfId="0" applyNumberFormat="1" applyFont="1" applyAlignment="1">
      <alignment horizontal="center"/>
    </xf>
    <xf numFmtId="7" fontId="4" fillId="0" borderId="0" xfId="0" applyNumberFormat="1" applyFont="1" applyAlignment="1">
      <alignment horizontal="center"/>
    </xf>
    <xf numFmtId="7" fontId="0" fillId="91" borderId="0" xfId="0" applyNumberFormat="1" applyFill="1" applyAlignment="1">
      <alignment horizontal="center"/>
    </xf>
    <xf numFmtId="9" fontId="0" fillId="0" borderId="0" xfId="0" applyNumberFormat="1"/>
    <xf numFmtId="164" fontId="2" fillId="0" borderId="0" xfId="0" applyNumberFormat="1" applyFont="1" applyAlignment="1">
      <alignment horizontal="center"/>
    </xf>
    <xf numFmtId="10" fontId="0" fillId="0" borderId="0" xfId="0" applyNumberFormat="1" applyAlignment="1">
      <alignment horizontal="center"/>
    </xf>
    <xf numFmtId="193" fontId="0" fillId="0" borderId="0" xfId="0" applyNumberFormat="1"/>
    <xf numFmtId="0" fontId="93" fillId="0" borderId="0" xfId="0" applyFont="1"/>
    <xf numFmtId="5" fontId="2" fillId="0" borderId="0" xfId="4" applyNumberFormat="1" applyFont="1" applyFill="1"/>
    <xf numFmtId="0" fontId="20" fillId="0" borderId="0" xfId="47" applyFont="1"/>
    <xf numFmtId="0" fontId="23" fillId="0" borderId="0" xfId="47" applyFont="1"/>
    <xf numFmtId="0" fontId="96" fillId="0" borderId="0" xfId="47" applyFont="1"/>
    <xf numFmtId="0" fontId="33" fillId="0" borderId="0" xfId="47" applyFont="1" applyAlignment="1">
      <alignment horizontal="left"/>
    </xf>
    <xf numFmtId="17" fontId="33" fillId="0" borderId="0" xfId="47" quotePrefix="1" applyNumberFormat="1" applyFont="1" applyAlignment="1">
      <alignment horizontal="center"/>
    </xf>
    <xf numFmtId="0" fontId="33" fillId="0" borderId="0" xfId="47" quotePrefix="1" applyFont="1" applyAlignment="1">
      <alignment horizontal="center"/>
    </xf>
    <xf numFmtId="0" fontId="20" fillId="0" borderId="0" xfId="47" quotePrefix="1" applyFont="1" applyAlignment="1">
      <alignment horizontal="center"/>
    </xf>
    <xf numFmtId="0" fontId="97" fillId="0" borderId="0" xfId="47" applyFont="1" applyAlignment="1">
      <alignment horizontal="center"/>
    </xf>
    <xf numFmtId="42" fontId="0" fillId="0" borderId="0" xfId="4" applyNumberFormat="1" applyFont="1"/>
    <xf numFmtId="0" fontId="20" fillId="0" borderId="0" xfId="47" applyFont="1" applyAlignment="1">
      <alignment horizontal="left" indent="1"/>
    </xf>
    <xf numFmtId="164" fontId="33" fillId="0" borderId="0" xfId="47" applyNumberFormat="1" applyFont="1"/>
    <xf numFmtId="164" fontId="33" fillId="0" borderId="0" xfId="47" applyNumberFormat="1" applyFont="1" applyAlignment="1">
      <alignment horizontal="center"/>
    </xf>
    <xf numFmtId="164" fontId="20" fillId="0" borderId="0" xfId="47" applyNumberFormat="1" applyFont="1"/>
    <xf numFmtId="10" fontId="33" fillId="0" borderId="0" xfId="78" applyNumberFormat="1" applyFont="1" applyFill="1" applyBorder="1"/>
    <xf numFmtId="9" fontId="33" fillId="0" borderId="0" xfId="1" applyFont="1" applyFill="1" applyBorder="1"/>
    <xf numFmtId="164" fontId="23" fillId="0" borderId="0" xfId="47" applyNumberFormat="1" applyFont="1"/>
    <xf numFmtId="10" fontId="20" fillId="0" borderId="0" xfId="78" applyNumberFormat="1" applyFont="1" applyFill="1" applyBorder="1"/>
    <xf numFmtId="42" fontId="0" fillId="0" borderId="0" xfId="4" applyNumberFormat="1" applyFont="1" applyFill="1"/>
    <xf numFmtId="42" fontId="20" fillId="0" borderId="0" xfId="47" applyNumberFormat="1" applyFont="1"/>
    <xf numFmtId="3" fontId="20" fillId="0" borderId="0" xfId="47" applyNumberFormat="1" applyFont="1"/>
    <xf numFmtId="0" fontId="98" fillId="0" borderId="0" xfId="47" applyFont="1"/>
    <xf numFmtId="0" fontId="20" fillId="0" borderId="0" xfId="47" quotePrefix="1" applyFont="1"/>
    <xf numFmtId="0" fontId="97" fillId="0" borderId="0" xfId="47" applyFont="1"/>
    <xf numFmtId="0" fontId="20" fillId="91" borderId="0" xfId="47" applyFont="1" applyFill="1"/>
    <xf numFmtId="0" fontId="98" fillId="0" borderId="0" xfId="47" quotePrefix="1" applyFont="1" applyAlignment="1">
      <alignment horizontal="center"/>
    </xf>
    <xf numFmtId="0" fontId="20" fillId="0" borderId="0" xfId="47" applyFont="1" applyAlignment="1">
      <alignment horizontal="right"/>
    </xf>
    <xf numFmtId="17" fontId="20" fillId="0" borderId="0" xfId="47" quotePrefix="1" applyNumberFormat="1" applyFont="1" applyAlignment="1">
      <alignment horizontal="center"/>
    </xf>
    <xf numFmtId="0" fontId="98" fillId="0" borderId="0" xfId="47" applyFont="1" applyAlignment="1">
      <alignment horizontal="center"/>
    </xf>
    <xf numFmtId="0" fontId="98" fillId="0" borderId="0" xfId="47" applyFont="1" applyAlignment="1">
      <alignment horizontal="left"/>
    </xf>
    <xf numFmtId="164" fontId="20" fillId="0" borderId="0" xfId="47" quotePrefix="1" applyNumberFormat="1" applyFont="1" applyAlignment="1">
      <alignment horizontal="center"/>
    </xf>
    <xf numFmtId="0" fontId="97" fillId="0" borderId="0" xfId="47" applyFont="1" applyAlignment="1">
      <alignment horizontal="left"/>
    </xf>
    <xf numFmtId="2" fontId="20" fillId="0" borderId="0" xfId="0" applyNumberFormat="1" applyFont="1"/>
    <xf numFmtId="2" fontId="97" fillId="0" borderId="0" xfId="0" applyNumberFormat="1" applyFont="1"/>
    <xf numFmtId="2" fontId="20" fillId="0" borderId="0" xfId="0" applyNumberFormat="1" applyFont="1" applyAlignment="1">
      <alignment horizontal="center"/>
    </xf>
    <xf numFmtId="2" fontId="20" fillId="0" borderId="0" xfId="0" applyNumberFormat="1" applyFont="1" applyAlignment="1">
      <alignment horizontal="left"/>
    </xf>
    <xf numFmtId="194" fontId="20" fillId="0" borderId="0" xfId="0" applyNumberFormat="1" applyFont="1"/>
    <xf numFmtId="2" fontId="20" fillId="0" borderId="0" xfId="0" applyNumberFormat="1" applyFont="1" applyAlignment="1">
      <alignment horizontal="left" wrapText="1"/>
    </xf>
    <xf numFmtId="1" fontId="97" fillId="0" borderId="0" xfId="0" applyNumberFormat="1" applyFont="1" applyAlignment="1">
      <alignment horizontal="center"/>
    </xf>
    <xf numFmtId="2" fontId="96" fillId="0" borderId="0" xfId="0" applyNumberFormat="1" applyFont="1" applyAlignment="1">
      <alignment horizontal="left"/>
    </xf>
    <xf numFmtId="164" fontId="20" fillId="0" borderId="0" xfId="0" applyNumberFormat="1" applyFont="1" applyAlignment="1">
      <alignment horizontal="right"/>
    </xf>
    <xf numFmtId="2" fontId="23" fillId="0" borderId="0" xfId="0" applyNumberFormat="1" applyFont="1" applyAlignment="1">
      <alignment horizontal="center"/>
    </xf>
    <xf numFmtId="195" fontId="20" fillId="0" borderId="0" xfId="0" applyNumberFormat="1" applyFont="1" applyAlignment="1">
      <alignment horizontal="right"/>
    </xf>
    <xf numFmtId="2" fontId="20" fillId="0" borderId="0" xfId="0" quotePrefix="1" applyNumberFormat="1" applyFont="1" applyAlignment="1">
      <alignment horizontal="center"/>
    </xf>
    <xf numFmtId="165" fontId="20" fillId="0" borderId="0" xfId="2" applyNumberFormat="1" applyFont="1" applyFill="1" applyAlignment="1" applyProtection="1">
      <alignment horizontal="left"/>
    </xf>
    <xf numFmtId="165" fontId="20" fillId="0" borderId="0" xfId="2" applyNumberFormat="1" applyFont="1" applyFill="1"/>
    <xf numFmtId="164" fontId="20" fillId="0" borderId="0" xfId="0" applyNumberFormat="1" applyFont="1" applyAlignment="1">
      <alignment horizontal="center"/>
    </xf>
    <xf numFmtId="2" fontId="97" fillId="0" borderId="0" xfId="0" applyNumberFormat="1" applyFont="1" applyAlignment="1">
      <alignment horizontal="right"/>
    </xf>
    <xf numFmtId="0" fontId="96" fillId="0" borderId="0" xfId="0" applyFont="1"/>
    <xf numFmtId="194" fontId="20" fillId="0" borderId="0" xfId="0" applyNumberFormat="1" applyFont="1" applyAlignment="1">
      <alignment horizontal="center"/>
    </xf>
    <xf numFmtId="0" fontId="97" fillId="91" borderId="0" xfId="0" applyFont="1" applyFill="1"/>
    <xf numFmtId="0" fontId="97" fillId="92" borderId="0" xfId="0" applyFont="1" applyFill="1"/>
    <xf numFmtId="0" fontId="98" fillId="0" borderId="0" xfId="0" applyFont="1" applyAlignment="1">
      <alignment horizontal="center"/>
    </xf>
    <xf numFmtId="0" fontId="0" fillId="0" borderId="0" xfId="0" applyAlignment="1">
      <alignment horizontal="right"/>
    </xf>
    <xf numFmtId="42" fontId="0" fillId="0" borderId="0" xfId="0" applyNumberFormat="1"/>
    <xf numFmtId="0" fontId="98" fillId="0" borderId="0" xfId="0" quotePrefix="1" applyFont="1" applyAlignment="1">
      <alignment horizontal="center"/>
    </xf>
    <xf numFmtId="0" fontId="97" fillId="0" borderId="0" xfId="0" quotePrefix="1" applyFont="1" applyAlignment="1">
      <alignment horizontal="center"/>
    </xf>
    <xf numFmtId="0" fontId="97" fillId="0" borderId="0" xfId="0" quotePrefix="1" applyFont="1"/>
    <xf numFmtId="0" fontId="97" fillId="0" borderId="8" xfId="0" applyFont="1" applyBorder="1" applyAlignment="1">
      <alignment horizontal="center" vertical="center" wrapText="1"/>
    </xf>
    <xf numFmtId="0" fontId="20" fillId="91" borderId="0" xfId="0" applyFont="1" applyFill="1" applyAlignment="1">
      <alignment horizontal="center"/>
    </xf>
    <xf numFmtId="195" fontId="20" fillId="91" borderId="0" xfId="1" applyNumberFormat="1" applyFont="1" applyFill="1" applyAlignment="1">
      <alignment horizontal="center"/>
    </xf>
    <xf numFmtId="196" fontId="20" fillId="91" borderId="0" xfId="1" applyNumberFormat="1" applyFont="1" applyFill="1" applyAlignment="1">
      <alignment horizontal="center"/>
    </xf>
    <xf numFmtId="166" fontId="0" fillId="91" borderId="0" xfId="4" applyNumberFormat="1" applyFont="1" applyFill="1"/>
    <xf numFmtId="0" fontId="97" fillId="0" borderId="0" xfId="0" applyFont="1" applyAlignment="1">
      <alignment horizontal="right"/>
    </xf>
    <xf numFmtId="0" fontId="97" fillId="0" borderId="0" xfId="0" applyFont="1" applyAlignment="1">
      <alignment horizontal="center"/>
    </xf>
    <xf numFmtId="0" fontId="99" fillId="0" borderId="0" xfId="0" applyFont="1" applyAlignment="1">
      <alignment horizontal="left"/>
    </xf>
    <xf numFmtId="10" fontId="20" fillId="91" borderId="0" xfId="1" applyNumberFormat="1" applyFont="1" applyFill="1" applyAlignment="1">
      <alignment horizontal="left" indent="1"/>
    </xf>
    <xf numFmtId="14" fontId="0" fillId="91" borderId="0" xfId="0" applyNumberFormat="1" applyFill="1"/>
    <xf numFmtId="164" fontId="0" fillId="91" borderId="0" xfId="0" applyNumberFormat="1" applyFill="1"/>
    <xf numFmtId="164" fontId="23" fillId="91" borderId="0" xfId="0" applyNumberFormat="1" applyFont="1" applyFill="1"/>
    <xf numFmtId="0" fontId="20" fillId="91" borderId="0" xfId="0" applyFont="1" applyFill="1" applyAlignment="1">
      <alignment horizontal="left" indent="1"/>
    </xf>
    <xf numFmtId="0" fontId="20" fillId="91" borderId="0" xfId="0" quotePrefix="1" applyFont="1" applyFill="1" applyAlignment="1">
      <alignment horizontal="left"/>
    </xf>
    <xf numFmtId="0" fontId="20" fillId="91" borderId="0" xfId="0" quotePrefix="1" applyFont="1" applyFill="1" applyAlignment="1">
      <alignment horizontal="center"/>
    </xf>
    <xf numFmtId="0" fontId="20" fillId="0" borderId="0" xfId="0" quotePrefix="1" applyFont="1" applyAlignment="1">
      <alignment horizontal="center"/>
    </xf>
    <xf numFmtId="0" fontId="0" fillId="0" borderId="0" xfId="48" applyFont="1"/>
    <xf numFmtId="0" fontId="97" fillId="0" borderId="0" xfId="0" applyFont="1"/>
    <xf numFmtId="0" fontId="2" fillId="0" borderId="0" xfId="0" applyFont="1" applyAlignment="1">
      <alignment vertical="center"/>
    </xf>
    <xf numFmtId="0" fontId="20" fillId="92" borderId="0" xfId="0" applyFont="1" applyFill="1"/>
    <xf numFmtId="0" fontId="20" fillId="92" borderId="0" xfId="0" applyFont="1" applyFill="1" applyAlignment="1">
      <alignment horizontal="center"/>
    </xf>
    <xf numFmtId="0" fontId="20" fillId="0" borderId="0" xfId="0" quotePrefix="1" applyFont="1" applyAlignment="1">
      <alignment horizontal="center" wrapText="1"/>
    </xf>
    <xf numFmtId="166" fontId="20" fillId="0" borderId="0" xfId="8" applyNumberFormat="1" applyFont="1" applyFill="1" applyBorder="1" applyAlignment="1">
      <alignment horizontal="center"/>
    </xf>
    <xf numFmtId="166" fontId="20" fillId="0" borderId="0" xfId="8" applyNumberFormat="1" applyFont="1" applyFill="1" applyBorder="1" applyAlignment="1">
      <alignment horizontal="left"/>
    </xf>
    <xf numFmtId="42" fontId="20" fillId="0" borderId="0" xfId="0" applyNumberFormat="1" applyFont="1"/>
    <xf numFmtId="0" fontId="20" fillId="0" borderId="0" xfId="0" applyFont="1" applyAlignment="1">
      <alignment horizontal="center" wrapText="1"/>
    </xf>
    <xf numFmtId="17" fontId="20" fillId="0" borderId="0" xfId="6" quotePrefix="1" applyNumberFormat="1" applyFont="1" applyAlignment="1">
      <alignment horizontal="left"/>
    </xf>
    <xf numFmtId="0" fontId="2" fillId="0" borderId="0" xfId="0" quotePrefix="1" applyFont="1" applyAlignment="1">
      <alignment horizontal="center"/>
    </xf>
    <xf numFmtId="0" fontId="20" fillId="0" borderId="0" xfId="47" applyFont="1" applyAlignment="1">
      <alignment horizontal="center" wrapText="1"/>
    </xf>
    <xf numFmtId="0" fontId="0" fillId="0" borderId="0" xfId="0" applyAlignment="1">
      <alignment horizontal="center" vertical="center" wrapText="1"/>
    </xf>
    <xf numFmtId="0" fontId="20" fillId="0" borderId="0" xfId="6" quotePrefix="1" applyFont="1" applyAlignment="1">
      <alignment horizontal="center"/>
    </xf>
    <xf numFmtId="1" fontId="20" fillId="0" borderId="0" xfId="6" quotePrefix="1" applyNumberFormat="1" applyFont="1" applyAlignment="1">
      <alignment horizontal="center"/>
    </xf>
    <xf numFmtId="165" fontId="0" fillId="0" borderId="0" xfId="0" applyNumberFormat="1"/>
    <xf numFmtId="166" fontId="0" fillId="0" borderId="0" xfId="0" applyNumberFormat="1"/>
    <xf numFmtId="17" fontId="20" fillId="0" borderId="32" xfId="6" quotePrefix="1" applyNumberFormat="1" applyFont="1" applyBorder="1" applyAlignment="1">
      <alignment horizontal="left"/>
    </xf>
    <xf numFmtId="1" fontId="20" fillId="0" borderId="32" xfId="6" quotePrefix="1" applyNumberFormat="1" applyFont="1" applyBorder="1" applyAlignment="1">
      <alignment horizontal="center"/>
    </xf>
    <xf numFmtId="0" fontId="20" fillId="0" borderId="0" xfId="6" quotePrefix="1" applyFont="1" applyAlignment="1">
      <alignment horizontal="left"/>
    </xf>
    <xf numFmtId="0" fontId="0" fillId="0" borderId="0" xfId="0" applyAlignment="1">
      <alignment horizontal="center" vertical="center"/>
    </xf>
    <xf numFmtId="0" fontId="98" fillId="0" borderId="0" xfId="0" quotePrefix="1" applyFont="1" applyAlignment="1">
      <alignment horizontal="center" wrapText="1"/>
    </xf>
    <xf numFmtId="164" fontId="20" fillId="0" borderId="0" xfId="0" applyNumberFormat="1" applyFont="1"/>
    <xf numFmtId="164" fontId="3" fillId="0" borderId="0" xfId="0" applyNumberFormat="1" applyFont="1"/>
    <xf numFmtId="0" fontId="20" fillId="0" borderId="0" xfId="0" quotePrefix="1" applyFont="1" applyAlignment="1">
      <alignment horizontal="center" vertical="center"/>
    </xf>
    <xf numFmtId="0" fontId="4" fillId="0" borderId="0" xfId="0" applyFont="1" applyAlignment="1">
      <alignment horizontal="center" wrapText="1"/>
    </xf>
    <xf numFmtId="0" fontId="97" fillId="0" borderId="0" xfId="6" quotePrefix="1" applyFont="1" applyAlignment="1">
      <alignment horizontal="left"/>
    </xf>
    <xf numFmtId="0" fontId="20" fillId="0" borderId="0" xfId="47" applyFont="1" applyAlignment="1">
      <alignment horizontal="center"/>
    </xf>
    <xf numFmtId="0" fontId="97" fillId="92" borderId="0" xfId="47" applyFont="1" applyFill="1" applyAlignment="1">
      <alignment horizontal="left"/>
    </xf>
    <xf numFmtId="0" fontId="20" fillId="92" borderId="0" xfId="47" applyFont="1" applyFill="1"/>
    <xf numFmtId="0" fontId="20" fillId="92" borderId="0" xfId="47" applyFont="1" applyFill="1" applyAlignment="1">
      <alignment horizontal="center"/>
    </xf>
    <xf numFmtId="0" fontId="98" fillId="0" borderId="0" xfId="6" quotePrefix="1" applyFont="1" applyAlignment="1">
      <alignment horizontal="center"/>
    </xf>
    <xf numFmtId="0" fontId="20" fillId="0" borderId="0" xfId="6" quotePrefix="1" applyFont="1" applyAlignment="1">
      <alignment horizontal="center" wrapText="1"/>
    </xf>
    <xf numFmtId="0" fontId="20" fillId="0" borderId="0" xfId="6" applyFont="1"/>
    <xf numFmtId="0" fontId="97" fillId="0" borderId="0" xfId="6" applyFont="1"/>
    <xf numFmtId="0" fontId="98" fillId="0" borderId="0" xfId="6" applyFont="1"/>
    <xf numFmtId="0" fontId="97" fillId="92" borderId="0" xfId="6" applyFont="1" applyFill="1"/>
    <xf numFmtId="0" fontId="20" fillId="92" borderId="0" xfId="6" applyFont="1" applyFill="1"/>
    <xf numFmtId="0" fontId="20" fillId="0" borderId="0" xfId="6" applyFont="1" applyAlignment="1">
      <alignment horizontal="left"/>
    </xf>
    <xf numFmtId="0" fontId="97" fillId="0" borderId="0" xfId="6" applyFont="1" applyAlignment="1">
      <alignment horizontal="center"/>
    </xf>
    <xf numFmtId="0" fontId="98" fillId="0" borderId="0" xfId="6" applyFont="1" applyAlignment="1">
      <alignment horizontal="center"/>
    </xf>
    <xf numFmtId="164" fontId="20" fillId="0" borderId="0" xfId="6" applyNumberFormat="1" applyFont="1"/>
    <xf numFmtId="0" fontId="20" fillId="0" borderId="0" xfId="6" applyFont="1" applyAlignment="1">
      <alignment horizontal="center"/>
    </xf>
    <xf numFmtId="0" fontId="20" fillId="0" borderId="32" xfId="6" applyFont="1" applyBorder="1"/>
    <xf numFmtId="0" fontId="20" fillId="0" borderId="32" xfId="6" applyFont="1" applyBorder="1" applyAlignment="1">
      <alignment horizontal="center"/>
    </xf>
    <xf numFmtId="10" fontId="0" fillId="92" borderId="0" xfId="1" applyNumberFormat="1" applyFont="1" applyFill="1"/>
    <xf numFmtId="0" fontId="20" fillId="0" borderId="0" xfId="6" quotePrefix="1" applyFont="1" applyAlignment="1">
      <alignment horizontal="center" vertical="center" wrapText="1"/>
    </xf>
    <xf numFmtId="0" fontId="20" fillId="0" borderId="32" xfId="6" applyFont="1" applyBorder="1" applyAlignment="1">
      <alignment horizontal="left"/>
    </xf>
    <xf numFmtId="0" fontId="20" fillId="0" borderId="0" xfId="6" applyFont="1" applyAlignment="1">
      <alignment horizontal="right" indent="1"/>
    </xf>
    <xf numFmtId="0" fontId="20" fillId="92" borderId="0" xfId="6" applyFont="1" applyFill="1" applyAlignment="1">
      <alignment horizontal="right" indent="1"/>
    </xf>
    <xf numFmtId="10" fontId="20" fillId="0" borderId="0" xfId="6" applyNumberFormat="1" applyFont="1"/>
    <xf numFmtId="166" fontId="20" fillId="0" borderId="0" xfId="6" applyNumberFormat="1" applyFont="1"/>
    <xf numFmtId="166" fontId="0" fillId="0" borderId="0" xfId="8" applyNumberFormat="1" applyFont="1"/>
    <xf numFmtId="0" fontId="20" fillId="0" borderId="0" xfId="6" applyFont="1" applyAlignment="1">
      <alignment horizontal="right"/>
    </xf>
    <xf numFmtId="166" fontId="20" fillId="0" borderId="0" xfId="8" applyNumberFormat="1" applyFont="1" applyFill="1" applyBorder="1" applyAlignment="1">
      <alignment horizontal="center" vertical="center" wrapText="1"/>
    </xf>
    <xf numFmtId="5" fontId="20" fillId="0" borderId="0" xfId="8" applyNumberFormat="1" applyFont="1"/>
    <xf numFmtId="5" fontId="20" fillId="0" borderId="0" xfId="8" applyNumberFormat="1" applyFont="1" applyFill="1"/>
    <xf numFmtId="5" fontId="97" fillId="0" borderId="0" xfId="8" applyNumberFormat="1" applyFont="1" applyFill="1"/>
    <xf numFmtId="10" fontId="97" fillId="0" borderId="0" xfId="1" applyNumberFormat="1" applyFont="1" applyFill="1"/>
    <xf numFmtId="0" fontId="97" fillId="0" borderId="0" xfId="0" applyFont="1" applyAlignment="1">
      <alignment horizontal="left"/>
    </xf>
    <xf numFmtId="165" fontId="0" fillId="0" borderId="32" xfId="9" applyNumberFormat="1" applyFont="1" applyFill="1" applyBorder="1"/>
    <xf numFmtId="166" fontId="0" fillId="0" borderId="0" xfId="9" applyNumberFormat="1" applyFont="1" applyFill="1" applyBorder="1"/>
    <xf numFmtId="166" fontId="0" fillId="0" borderId="0" xfId="9" applyNumberFormat="1" applyFont="1" applyFill="1"/>
    <xf numFmtId="17" fontId="97" fillId="92" borderId="0" xfId="6" quotePrefix="1" applyNumberFormat="1" applyFont="1" applyFill="1" applyAlignment="1">
      <alignment horizontal="left"/>
    </xf>
    <xf numFmtId="0" fontId="98" fillId="0" borderId="0" xfId="0" applyFont="1"/>
    <xf numFmtId="164" fontId="20" fillId="0" borderId="0" xfId="0" quotePrefix="1" applyNumberFormat="1" applyFont="1" applyAlignment="1">
      <alignment horizontal="right"/>
    </xf>
    <xf numFmtId="42" fontId="20" fillId="0" borderId="0" xfId="0" quotePrefix="1" applyNumberFormat="1" applyFont="1" applyAlignment="1">
      <alignment horizontal="center"/>
    </xf>
    <xf numFmtId="5" fontId="20" fillId="0" borderId="0" xfId="0" quotePrefix="1" applyNumberFormat="1" applyFont="1" applyAlignment="1">
      <alignment horizontal="center"/>
    </xf>
    <xf numFmtId="5" fontId="96" fillId="0" borderId="0" xfId="0" quotePrefix="1" applyNumberFormat="1" applyFont="1" applyAlignment="1">
      <alignment horizontal="center"/>
    </xf>
    <xf numFmtId="164" fontId="20" fillId="0" borderId="0" xfId="0" quotePrefix="1" applyNumberFormat="1" applyFont="1" applyAlignment="1">
      <alignment horizontal="center"/>
    </xf>
    <xf numFmtId="164" fontId="96" fillId="0" borderId="0" xfId="0" quotePrefix="1" applyNumberFormat="1" applyFont="1" applyAlignment="1">
      <alignment horizontal="center"/>
    </xf>
    <xf numFmtId="168" fontId="20" fillId="0" borderId="0" xfId="0" quotePrefix="1" applyNumberFormat="1" applyFont="1" applyAlignment="1">
      <alignment horizontal="right"/>
    </xf>
    <xf numFmtId="10" fontId="20" fillId="0" borderId="0" xfId="0" applyNumberFormat="1" applyFont="1"/>
    <xf numFmtId="164" fontId="96" fillId="0" borderId="0" xfId="0" applyNumberFormat="1" applyFont="1"/>
    <xf numFmtId="0" fontId="100" fillId="0" borderId="0" xfId="0" applyFont="1" applyAlignment="1">
      <alignment horizontal="left" vertical="center"/>
    </xf>
    <xf numFmtId="0" fontId="20" fillId="0" borderId="0" xfId="0" quotePrefix="1" applyFont="1" applyAlignment="1">
      <alignment horizontal="left"/>
    </xf>
    <xf numFmtId="0" fontId="0" fillId="92" borderId="0" xfId="0" applyFill="1" applyAlignment="1">
      <alignment horizontal="center"/>
    </xf>
    <xf numFmtId="0" fontId="2" fillId="92" borderId="0" xfId="0" quotePrefix="1" applyFont="1" applyFill="1" applyAlignment="1">
      <alignment horizontal="center"/>
    </xf>
    <xf numFmtId="166" fontId="20" fillId="0" borderId="0" xfId="0" applyNumberFormat="1" applyFont="1" applyAlignment="1">
      <alignment horizontal="center"/>
    </xf>
    <xf numFmtId="0" fontId="20" fillId="0" borderId="32" xfId="0" applyFont="1" applyBorder="1"/>
    <xf numFmtId="166" fontId="97" fillId="0" borderId="0" xfId="0" applyNumberFormat="1" applyFont="1"/>
    <xf numFmtId="0" fontId="0" fillId="0" borderId="0" xfId="0" applyAlignment="1">
      <alignment vertical="center"/>
    </xf>
    <xf numFmtId="0" fontId="20" fillId="0" borderId="0" xfId="0" applyFont="1" applyAlignment="1">
      <alignment vertical="center"/>
    </xf>
    <xf numFmtId="0" fontId="101" fillId="0" borderId="0" xfId="0" applyFont="1" applyAlignment="1">
      <alignment horizontal="center" wrapText="1"/>
    </xf>
    <xf numFmtId="37" fontId="119" fillId="0" borderId="0" xfId="49" applyNumberFormat="1" applyAlignment="1">
      <alignment horizontal="right"/>
    </xf>
    <xf numFmtId="164" fontId="2" fillId="0" borderId="0" xfId="0" applyNumberFormat="1" applyFont="1"/>
    <xf numFmtId="0" fontId="97" fillId="92" borderId="0" xfId="6" applyFont="1" applyFill="1" applyAlignment="1">
      <alignment horizontal="left"/>
    </xf>
    <xf numFmtId="10" fontId="20" fillId="0" borderId="0" xfId="1" applyNumberFormat="1" applyFont="1" applyFill="1" applyBorder="1"/>
    <xf numFmtId="166" fontId="20" fillId="0" borderId="0" xfId="8" applyNumberFormat="1" applyFont="1" applyFill="1" applyBorder="1"/>
    <xf numFmtId="166" fontId="0" fillId="0" borderId="0" xfId="8" applyNumberFormat="1" applyFont="1" applyFill="1" applyBorder="1" applyAlignment="1">
      <alignment horizontal="right"/>
    </xf>
    <xf numFmtId="166" fontId="0" fillId="0" borderId="0" xfId="8" applyNumberFormat="1" applyFont="1" applyFill="1" applyBorder="1"/>
    <xf numFmtId="0" fontId="20" fillId="0" borderId="32" xfId="0" applyFont="1" applyBorder="1" applyAlignment="1">
      <alignment horizontal="left"/>
    </xf>
    <xf numFmtId="0" fontId="0" fillId="0" borderId="32" xfId="0" applyBorder="1"/>
    <xf numFmtId="39" fontId="0" fillId="0" borderId="0" xfId="8" applyNumberFormat="1" applyFont="1" applyFill="1"/>
    <xf numFmtId="39" fontId="0" fillId="0" borderId="0" xfId="0" applyNumberFormat="1"/>
    <xf numFmtId="166" fontId="2" fillId="0" borderId="0" xfId="8" applyNumberFormat="1" applyFont="1"/>
    <xf numFmtId="166" fontId="2" fillId="0" borderId="0" xfId="8" applyNumberFormat="1" applyFont="1" applyFill="1"/>
    <xf numFmtId="10" fontId="2" fillId="0" borderId="0" xfId="1" applyNumberFormat="1" applyFont="1" applyFill="1"/>
    <xf numFmtId="39" fontId="0" fillId="0" borderId="0" xfId="8" applyNumberFormat="1" applyFont="1"/>
    <xf numFmtId="37" fontId="0" fillId="0" borderId="0" xfId="0" applyNumberFormat="1"/>
    <xf numFmtId="37" fontId="0" fillId="0" borderId="0" xfId="0" applyNumberFormat="1" applyAlignment="1">
      <alignment horizontal="center"/>
    </xf>
    <xf numFmtId="0" fontId="2" fillId="0" borderId="32" xfId="0" applyFont="1" applyBorder="1" applyAlignment="1">
      <alignment horizontal="center"/>
    </xf>
    <xf numFmtId="166" fontId="20" fillId="0" borderId="0" xfId="8" applyNumberFormat="1" applyFont="1" applyFill="1" applyBorder="1" applyAlignment="1">
      <alignment horizontal="right"/>
    </xf>
    <xf numFmtId="166" fontId="20" fillId="0" borderId="0" xfId="11" applyNumberFormat="1" applyFont="1" applyAlignment="1">
      <alignment horizontal="right"/>
    </xf>
    <xf numFmtId="0" fontId="20" fillId="0" borderId="0" xfId="0" applyFont="1" applyAlignment="1">
      <alignment horizontal="center" vertical="center" wrapText="1"/>
    </xf>
    <xf numFmtId="166" fontId="20" fillId="0" borderId="0" xfId="11" applyNumberFormat="1" applyFont="1" applyAlignment="1">
      <alignment horizontal="center" vertical="center" wrapText="1"/>
    </xf>
    <xf numFmtId="3" fontId="20" fillId="0" borderId="0" xfId="11" applyNumberFormat="1" applyFont="1" applyAlignment="1">
      <alignment horizontal="center"/>
    </xf>
    <xf numFmtId="10" fontId="20" fillId="0" borderId="0" xfId="1" applyNumberFormat="1" applyFont="1" applyAlignment="1">
      <alignment horizontal="center"/>
    </xf>
    <xf numFmtId="0" fontId="97" fillId="0" borderId="0" xfId="11" applyFont="1" applyAlignment="1">
      <alignment horizontal="center"/>
    </xf>
    <xf numFmtId="0" fontId="20" fillId="0" borderId="0" xfId="11" applyFont="1" applyAlignment="1">
      <alignment horizontal="left"/>
    </xf>
    <xf numFmtId="0" fontId="20" fillId="0" borderId="0" xfId="11" applyFont="1"/>
    <xf numFmtId="0" fontId="98" fillId="0" borderId="0" xfId="0" applyFont="1" applyAlignment="1">
      <alignment horizontal="center" wrapText="1"/>
    </xf>
    <xf numFmtId="0" fontId="98" fillId="0" borderId="0" xfId="11" applyFont="1" applyAlignment="1">
      <alignment horizontal="center" wrapText="1"/>
    </xf>
    <xf numFmtId="1" fontId="20" fillId="0" borderId="0" xfId="11" applyNumberFormat="1" applyFont="1" applyAlignment="1">
      <alignment horizontal="center"/>
    </xf>
    <xf numFmtId="0" fontId="20" fillId="0" borderId="32" xfId="11" applyFont="1" applyBorder="1" applyAlignment="1">
      <alignment horizontal="left"/>
    </xf>
    <xf numFmtId="1" fontId="20" fillId="0" borderId="32" xfId="11" applyNumberFormat="1" applyFont="1" applyBorder="1" applyAlignment="1">
      <alignment horizontal="center"/>
    </xf>
    <xf numFmtId="0" fontId="97" fillId="0" borderId="0" xfId="11" applyFont="1" applyAlignment="1">
      <alignment horizontal="left"/>
    </xf>
    <xf numFmtId="0" fontId="0" fillId="0" borderId="0" xfId="0" applyAlignment="1">
      <alignment vertical="center" wrapText="1"/>
    </xf>
    <xf numFmtId="3" fontId="20" fillId="0" borderId="0" xfId="6" applyNumberFormat="1" applyFont="1" applyAlignment="1">
      <alignment horizontal="left" indent="1"/>
    </xf>
    <xf numFmtId="166" fontId="97" fillId="0" borderId="0" xfId="8" applyNumberFormat="1" applyFont="1" applyFill="1" applyBorder="1" applyAlignment="1">
      <alignment horizontal="center" wrapText="1"/>
    </xf>
    <xf numFmtId="166" fontId="98" fillId="0" borderId="0" xfId="0" applyNumberFormat="1" applyFont="1" applyAlignment="1">
      <alignment horizontal="center" wrapText="1"/>
    </xf>
    <xf numFmtId="166" fontId="1" fillId="0" borderId="0" xfId="4" applyNumberFormat="1" applyFont="1" applyFill="1"/>
    <xf numFmtId="166" fontId="5" fillId="0" borderId="0" xfId="4" applyNumberFormat="1" applyFont="1" applyFill="1" applyBorder="1" applyAlignment="1">
      <alignment horizontal="left" indent="1"/>
    </xf>
    <xf numFmtId="166" fontId="1" fillId="0" borderId="0" xfId="4" applyNumberFormat="1" applyFont="1"/>
    <xf numFmtId="166" fontId="20" fillId="0" borderId="0" xfId="4" applyNumberFormat="1" applyFont="1" applyFill="1" applyBorder="1" applyAlignment="1">
      <alignment horizontal="left" indent="1"/>
    </xf>
    <xf numFmtId="164" fontId="20" fillId="0" borderId="0" xfId="8" applyNumberFormat="1" applyFont="1" applyFill="1" applyBorder="1" applyAlignment="1">
      <alignment horizontal="right"/>
    </xf>
    <xf numFmtId="3" fontId="20" fillId="0" borderId="0" xfId="11" applyNumberFormat="1" applyFont="1"/>
    <xf numFmtId="198" fontId="0" fillId="0" borderId="0" xfId="0" applyNumberFormat="1"/>
    <xf numFmtId="0" fontId="20" fillId="91" borderId="0" xfId="6" applyFont="1" applyFill="1"/>
    <xf numFmtId="0" fontId="97" fillId="0" borderId="0" xfId="6" applyFont="1" applyAlignment="1">
      <alignment horizontal="left" indent="1"/>
    </xf>
    <xf numFmtId="37" fontId="20" fillId="0" borderId="0" xfId="0" applyNumberFormat="1" applyFont="1" applyAlignment="1">
      <alignment horizontal="left" indent="1"/>
    </xf>
    <xf numFmtId="167" fontId="0" fillId="0" borderId="0" xfId="0" applyNumberFormat="1"/>
    <xf numFmtId="167" fontId="0" fillId="0" borderId="0" xfId="0" applyNumberFormat="1" applyAlignment="1">
      <alignment horizontal="left" indent="1"/>
    </xf>
    <xf numFmtId="164" fontId="4" fillId="0" borderId="0" xfId="0" applyNumberFormat="1" applyFont="1"/>
    <xf numFmtId="0" fontId="102" fillId="0" borderId="0" xfId="6" applyFont="1" applyAlignment="1">
      <alignment horizontal="left"/>
    </xf>
    <xf numFmtId="0" fontId="97" fillId="0" borderId="0" xfId="6" applyFont="1" applyAlignment="1">
      <alignment horizontal="right"/>
    </xf>
    <xf numFmtId="0" fontId="102" fillId="92" borderId="0" xfId="6" applyFont="1" applyFill="1" applyAlignment="1">
      <alignment horizontal="left"/>
    </xf>
    <xf numFmtId="0" fontId="97" fillId="92" borderId="0" xfId="6" applyFont="1" applyFill="1" applyAlignment="1">
      <alignment horizontal="right"/>
    </xf>
    <xf numFmtId="0" fontId="0" fillId="0" borderId="0" xfId="0" quotePrefix="1" applyAlignment="1">
      <alignment horizontal="center"/>
    </xf>
    <xf numFmtId="0" fontId="97" fillId="0" borderId="32" xfId="6" applyFont="1" applyBorder="1" applyAlignment="1">
      <alignment horizontal="center"/>
    </xf>
    <xf numFmtId="194" fontId="20" fillId="91" borderId="0" xfId="6" applyNumberFormat="1" applyFont="1" applyFill="1" applyAlignment="1">
      <alignment horizontal="center"/>
    </xf>
    <xf numFmtId="0" fontId="0" fillId="91" borderId="0" xfId="47" applyFont="1" applyFill="1"/>
    <xf numFmtId="194" fontId="20" fillId="0" borderId="0" xfId="6" quotePrefix="1" applyNumberFormat="1" applyFont="1" applyAlignment="1">
      <alignment horizontal="center"/>
    </xf>
    <xf numFmtId="164" fontId="20" fillId="0" borderId="0" xfId="9" applyNumberFormat="1" applyFont="1" applyFill="1" applyBorder="1"/>
    <xf numFmtId="164" fontId="20" fillId="0" borderId="0" xfId="9" applyNumberFormat="1" applyFont="1" applyBorder="1"/>
    <xf numFmtId="39" fontId="20" fillId="0" borderId="0" xfId="0" applyNumberFormat="1" applyFont="1" applyAlignment="1">
      <alignment horizontal="left" indent="1"/>
    </xf>
    <xf numFmtId="164" fontId="20" fillId="0" borderId="33" xfId="9" applyNumberFormat="1" applyFont="1" applyBorder="1"/>
    <xf numFmtId="39" fontId="0" fillId="0" borderId="0" xfId="0" applyNumberFormat="1" applyAlignment="1">
      <alignment horizontal="left" indent="1"/>
    </xf>
    <xf numFmtId="0" fontId="20" fillId="0" borderId="0" xfId="6" quotePrefix="1" applyFont="1" applyAlignment="1">
      <alignment horizontal="left" indent="1"/>
    </xf>
    <xf numFmtId="164" fontId="20" fillId="0" borderId="0" xfId="9" applyNumberFormat="1" applyFont="1" applyBorder="1" applyAlignment="1">
      <alignment horizontal="left" indent="1"/>
    </xf>
    <xf numFmtId="39" fontId="20" fillId="0" borderId="0" xfId="9" applyNumberFormat="1" applyFont="1" applyBorder="1"/>
    <xf numFmtId="37" fontId="20" fillId="92" borderId="0" xfId="9" applyNumberFormat="1" applyFont="1" applyFill="1" applyBorder="1" applyAlignment="1">
      <alignment horizontal="center"/>
    </xf>
    <xf numFmtId="39" fontId="20" fillId="92" borderId="0" xfId="9" applyNumberFormat="1" applyFont="1" applyFill="1" applyBorder="1"/>
    <xf numFmtId="194" fontId="20" fillId="91" borderId="0" xfId="47" quotePrefix="1" applyNumberFormat="1" applyFont="1" applyFill="1" applyAlignment="1">
      <alignment horizontal="center"/>
    </xf>
    <xf numFmtId="164" fontId="20" fillId="92" borderId="0" xfId="9" applyNumberFormat="1" applyFont="1" applyFill="1" applyBorder="1"/>
    <xf numFmtId="164" fontId="97" fillId="0" borderId="0" xfId="6" applyNumberFormat="1" applyFont="1" applyAlignment="1">
      <alignment horizontal="center"/>
    </xf>
    <xf numFmtId="164" fontId="97" fillId="0" borderId="32" xfId="6" applyNumberFormat="1" applyFont="1" applyBorder="1" applyAlignment="1">
      <alignment horizontal="center"/>
    </xf>
    <xf numFmtId="164" fontId="20" fillId="0" borderId="32" xfId="9" applyNumberFormat="1" applyFont="1" applyBorder="1"/>
    <xf numFmtId="164" fontId="20" fillId="0" borderId="33" xfId="9" applyNumberFormat="1" applyFont="1" applyFill="1" applyBorder="1"/>
    <xf numFmtId="164" fontId="20" fillId="92" borderId="0" xfId="9" applyNumberFormat="1" applyFont="1" applyFill="1" applyBorder="1" applyAlignment="1">
      <alignment horizontal="left" indent="1"/>
    </xf>
    <xf numFmtId="0" fontId="20" fillId="92" borderId="0" xfId="0" applyFont="1" applyFill="1" applyAlignment="1">
      <alignment horizontal="left" indent="1"/>
    </xf>
    <xf numFmtId="164" fontId="97" fillId="0" borderId="0" xfId="9" applyNumberFormat="1" applyFont="1" applyBorder="1" applyAlignment="1">
      <alignment horizontal="center"/>
    </xf>
    <xf numFmtId="0" fontId="97" fillId="0" borderId="0" xfId="0" quotePrefix="1" applyFont="1" applyAlignment="1">
      <alignment horizontal="left" indent="1"/>
    </xf>
    <xf numFmtId="164" fontId="98" fillId="0" borderId="0" xfId="9" applyNumberFormat="1" applyFont="1" applyBorder="1" applyAlignment="1">
      <alignment horizontal="center"/>
    </xf>
    <xf numFmtId="0" fontId="20" fillId="0" borderId="0" xfId="0" applyFont="1" applyAlignment="1">
      <alignment wrapText="1"/>
    </xf>
    <xf numFmtId="199" fontId="20" fillId="0" borderId="0" xfId="9" applyNumberFormat="1" applyFont="1" applyBorder="1" applyAlignment="1">
      <alignment horizontal="left" indent="1"/>
    </xf>
    <xf numFmtId="10" fontId="20" fillId="0" borderId="0" xfId="9" applyNumberFormat="1" applyFont="1" applyBorder="1"/>
    <xf numFmtId="164" fontId="0" fillId="0" borderId="0" xfId="0" applyNumberFormat="1" applyAlignment="1">
      <alignment horizontal="right"/>
    </xf>
    <xf numFmtId="199" fontId="20" fillId="0" borderId="0" xfId="0" quotePrefix="1" applyNumberFormat="1" applyFont="1" applyAlignment="1">
      <alignment horizontal="center"/>
    </xf>
    <xf numFmtId="0" fontId="0" fillId="91" borderId="0" xfId="0" applyFill="1" applyAlignment="1">
      <alignment wrapText="1"/>
    </xf>
    <xf numFmtId="0" fontId="20" fillId="0" borderId="0" xfId="0" applyFont="1" applyAlignment="1">
      <alignment horizontal="right" indent="1"/>
    </xf>
    <xf numFmtId="14" fontId="0" fillId="0" borderId="0" xfId="0" applyNumberFormat="1"/>
    <xf numFmtId="44" fontId="0" fillId="92" borderId="0" xfId="0" applyNumberFormat="1" applyFill="1"/>
    <xf numFmtId="164" fontId="4" fillId="0" borderId="0" xfId="0" applyNumberFormat="1" applyFont="1" applyAlignment="1">
      <alignment horizontal="center"/>
    </xf>
    <xf numFmtId="0" fontId="20" fillId="0" borderId="0" xfId="7" applyFont="1"/>
    <xf numFmtId="0" fontId="97" fillId="0" borderId="0" xfId="7" applyFont="1" applyAlignment="1">
      <alignment horizontal="center"/>
    </xf>
    <xf numFmtId="0" fontId="20" fillId="91" borderId="0" xfId="7" applyFont="1" applyFill="1"/>
    <xf numFmtId="164" fontId="96" fillId="91" borderId="0" xfId="7" applyNumberFormat="1" applyFont="1" applyFill="1"/>
    <xf numFmtId="164" fontId="20" fillId="91" borderId="0" xfId="7" applyNumberFormat="1" applyFont="1" applyFill="1"/>
    <xf numFmtId="0" fontId="20" fillId="91" borderId="0" xfId="7" quotePrefix="1" applyFont="1" applyFill="1"/>
    <xf numFmtId="0" fontId="98" fillId="0" borderId="0" xfId="7" applyFont="1" applyAlignment="1">
      <alignment horizontal="center"/>
    </xf>
    <xf numFmtId="164" fontId="20" fillId="0" borderId="0" xfId="7" applyNumberFormat="1" applyFont="1"/>
    <xf numFmtId="0" fontId="97" fillId="0" borderId="0" xfId="7" applyFont="1" applyAlignment="1">
      <alignment vertical="center"/>
    </xf>
    <xf numFmtId="164" fontId="97" fillId="0" borderId="34" xfId="7" applyNumberFormat="1" applyFont="1" applyBorder="1" applyAlignment="1">
      <alignment vertical="center"/>
    </xf>
    <xf numFmtId="0" fontId="97" fillId="0" borderId="0" xfId="7" applyFont="1" applyAlignment="1">
      <alignment horizontal="center" vertical="center"/>
    </xf>
    <xf numFmtId="0" fontId="98" fillId="0" borderId="0" xfId="7" applyFont="1"/>
    <xf numFmtId="0" fontId="97" fillId="0" borderId="0" xfId="7" applyFont="1"/>
    <xf numFmtId="0" fontId="97" fillId="0" borderId="0" xfId="7" quotePrefix="1" applyFont="1" applyAlignment="1">
      <alignment horizontal="center"/>
    </xf>
    <xf numFmtId="0" fontId="98" fillId="0" borderId="0" xfId="7" applyFont="1" applyAlignment="1">
      <alignment horizontal="left"/>
    </xf>
    <xf numFmtId="0" fontId="20" fillId="0" borderId="0" xfId="7" applyFont="1" applyAlignment="1">
      <alignment horizontal="left" indent="1"/>
    </xf>
    <xf numFmtId="6" fontId="0" fillId="0" borderId="0" xfId="0" applyNumberFormat="1"/>
    <xf numFmtId="6" fontId="23" fillId="0" borderId="0" xfId="0" applyNumberFormat="1" applyFont="1"/>
    <xf numFmtId="10" fontId="0" fillId="0" borderId="0" xfId="1" applyNumberFormat="1" applyFont="1" applyAlignment="1">
      <alignment vertical="center"/>
    </xf>
    <xf numFmtId="0" fontId="2" fillId="0" borderId="8" xfId="0" applyFont="1" applyBorder="1" applyAlignment="1">
      <alignment horizontal="center"/>
    </xf>
    <xf numFmtId="0" fontId="0" fillId="0" borderId="0" xfId="0" quotePrefix="1"/>
    <xf numFmtId="0" fontId="2" fillId="0" borderId="0" xfId="47" applyFont="1" applyAlignment="1">
      <alignment horizontal="center"/>
    </xf>
    <xf numFmtId="0" fontId="20" fillId="0" borderId="35" xfId="47" applyFont="1" applyBorder="1"/>
    <xf numFmtId="0" fontId="20" fillId="0" borderId="36" xfId="47" applyFont="1" applyBorder="1"/>
    <xf numFmtId="0" fontId="20" fillId="0" borderId="6" xfId="47" applyFont="1" applyBorder="1"/>
    <xf numFmtId="0" fontId="97" fillId="0" borderId="6" xfId="47" applyFont="1" applyBorder="1"/>
    <xf numFmtId="0" fontId="97" fillId="0" borderId="36" xfId="47" applyFont="1" applyBorder="1"/>
    <xf numFmtId="0" fontId="20" fillId="0" borderId="6" xfId="47" applyFont="1" applyBorder="1" applyAlignment="1">
      <alignment horizontal="right"/>
    </xf>
    <xf numFmtId="0" fontId="98" fillId="0" borderId="0" xfId="47" applyFont="1" applyAlignment="1">
      <alignment horizontal="right"/>
    </xf>
    <xf numFmtId="0" fontId="98" fillId="0" borderId="37" xfId="47" applyFont="1" applyBorder="1" applyAlignment="1">
      <alignment horizontal="center"/>
    </xf>
    <xf numFmtId="0" fontId="98" fillId="0" borderId="33" xfId="47" applyFont="1" applyBorder="1" applyAlignment="1">
      <alignment horizontal="center"/>
    </xf>
    <xf numFmtId="0" fontId="20" fillId="0" borderId="33" xfId="47" applyFont="1" applyBorder="1"/>
    <xf numFmtId="164" fontId="20" fillId="0" borderId="0" xfId="47" applyNumberFormat="1" applyFont="1" applyAlignment="1">
      <alignment horizontal="right"/>
    </xf>
    <xf numFmtId="0" fontId="97" fillId="0" borderId="0" xfId="47" applyFont="1" applyAlignment="1">
      <alignment horizontal="right"/>
    </xf>
    <xf numFmtId="0" fontId="0" fillId="91" borderId="0" xfId="0" quotePrefix="1" applyFill="1" applyAlignment="1">
      <alignment horizontal="center"/>
    </xf>
    <xf numFmtId="5" fontId="0" fillId="91" borderId="0" xfId="0" applyNumberFormat="1" applyFill="1"/>
    <xf numFmtId="5" fontId="2" fillId="0" borderId="0" xfId="0" applyNumberFormat="1" applyFont="1"/>
    <xf numFmtId="0" fontId="4" fillId="92" borderId="0" xfId="0" applyFont="1" applyFill="1" applyAlignment="1">
      <alignment horizontal="center"/>
    </xf>
    <xf numFmtId="0" fontId="4" fillId="92" borderId="0" xfId="0" applyFont="1" applyFill="1"/>
    <xf numFmtId="6" fontId="0" fillId="91" borderId="0" xfId="4" applyNumberFormat="1" applyFont="1" applyFill="1" applyBorder="1"/>
    <xf numFmtId="0" fontId="4" fillId="0" borderId="0" xfId="0" applyFont="1" applyAlignment="1">
      <alignment horizontal="left"/>
    </xf>
    <xf numFmtId="0" fontId="4" fillId="92" borderId="0" xfId="0" applyFont="1" applyFill="1" applyAlignment="1">
      <alignment horizontal="left"/>
    </xf>
    <xf numFmtId="10" fontId="20" fillId="0" borderId="0" xfId="9" applyNumberFormat="1" applyFont="1" applyFill="1" applyBorder="1"/>
    <xf numFmtId="164" fontId="20" fillId="0" borderId="0" xfId="9" applyNumberFormat="1" applyFont="1" applyFill="1" applyBorder="1" applyAlignment="1">
      <alignment horizontal="left" indent="1"/>
    </xf>
    <xf numFmtId="0" fontId="97" fillId="0" borderId="0" xfId="0" applyFont="1" applyAlignment="1">
      <alignment horizontal="right" indent="1"/>
    </xf>
    <xf numFmtId="164" fontId="97" fillId="0" borderId="0" xfId="9" applyNumberFormat="1" applyFont="1" applyFill="1" applyBorder="1" applyAlignment="1">
      <alignment horizontal="center" wrapText="1"/>
    </xf>
    <xf numFmtId="164" fontId="97" fillId="0" borderId="0" xfId="9" applyNumberFormat="1" applyFont="1" applyFill="1" applyBorder="1" applyAlignment="1">
      <alignment horizontal="center"/>
    </xf>
    <xf numFmtId="164" fontId="0" fillId="92" borderId="0" xfId="0" applyNumberFormat="1" applyFill="1" applyAlignment="1">
      <alignment horizontal="right"/>
    </xf>
    <xf numFmtId="10" fontId="20" fillId="92" borderId="0" xfId="9" applyNumberFormat="1" applyFont="1" applyFill="1" applyBorder="1"/>
    <xf numFmtId="5" fontId="2" fillId="0" borderId="34" xfId="0" applyNumberFormat="1" applyFont="1" applyBorder="1"/>
    <xf numFmtId="5" fontId="2" fillId="0" borderId="15" xfId="0" applyNumberFormat="1" applyFont="1" applyBorder="1"/>
    <xf numFmtId="10" fontId="2" fillId="0" borderId="0" xfId="1" applyNumberFormat="1" applyFont="1"/>
    <xf numFmtId="10" fontId="2" fillId="92" borderId="0" xfId="1" applyNumberFormat="1" applyFont="1" applyFill="1"/>
    <xf numFmtId="3" fontId="0" fillId="0" borderId="0" xfId="0" applyNumberFormat="1"/>
    <xf numFmtId="10" fontId="2" fillId="0" borderId="0" xfId="0" applyNumberFormat="1" applyFont="1"/>
    <xf numFmtId="0" fontId="0" fillId="91" borderId="0" xfId="0" quotePrefix="1" applyFill="1"/>
    <xf numFmtId="167" fontId="0" fillId="0" borderId="0" xfId="1" applyNumberFormat="1" applyFont="1" applyFill="1"/>
    <xf numFmtId="167" fontId="0" fillId="91" borderId="0" xfId="1" applyNumberFormat="1" applyFont="1" applyFill="1"/>
    <xf numFmtId="5" fontId="0" fillId="91" borderId="0" xfId="4" applyNumberFormat="1" applyFont="1" applyFill="1" applyAlignment="1">
      <alignment wrapText="1"/>
    </xf>
    <xf numFmtId="0" fontId="3" fillId="0" borderId="0" xfId="0" applyFont="1" applyAlignment="1">
      <alignment horizontal="center"/>
    </xf>
    <xf numFmtId="166" fontId="0" fillId="0" borderId="0" xfId="4" applyNumberFormat="1" applyFont="1" applyFill="1" applyBorder="1"/>
    <xf numFmtId="166" fontId="0" fillId="91" borderId="32" xfId="4" applyNumberFormat="1" applyFont="1" applyFill="1" applyBorder="1"/>
    <xf numFmtId="201" fontId="0" fillId="91" borderId="0" xfId="4" applyNumberFormat="1" applyFont="1" applyFill="1"/>
    <xf numFmtId="3" fontId="20" fillId="0" borderId="0" xfId="0" applyNumberFormat="1" applyFont="1"/>
    <xf numFmtId="0" fontId="105" fillId="0" borderId="0" xfId="0" applyFont="1"/>
    <xf numFmtId="0" fontId="106" fillId="0" borderId="0" xfId="0" applyFont="1"/>
    <xf numFmtId="3" fontId="20" fillId="91" borderId="32" xfId="0" applyNumberFormat="1" applyFont="1" applyFill="1" applyBorder="1"/>
    <xf numFmtId="0" fontId="20" fillId="0" borderId="0" xfId="0" applyFont="1" applyAlignment="1">
      <alignment horizontal="centerContinuous"/>
    </xf>
    <xf numFmtId="3" fontId="20" fillId="0" borderId="0" xfId="0" applyNumberFormat="1" applyFont="1" applyAlignment="1">
      <alignment horizontal="center"/>
    </xf>
    <xf numFmtId="0" fontId="97" fillId="0" borderId="0" xfId="0" quotePrefix="1" applyFont="1" applyAlignment="1">
      <alignment horizontal="right"/>
    </xf>
    <xf numFmtId="0" fontId="20" fillId="0" borderId="0" xfId="0" applyFont="1" applyAlignment="1">
      <alignment horizontal="right"/>
    </xf>
    <xf numFmtId="0" fontId="97" fillId="0" borderId="0" xfId="0" applyFont="1" applyAlignment="1">
      <alignment horizontal="centerContinuous"/>
    </xf>
    <xf numFmtId="3" fontId="96" fillId="0" borderId="0" xfId="0" applyNumberFormat="1" applyFont="1"/>
    <xf numFmtId="166" fontId="0" fillId="0" borderId="0" xfId="8160" applyNumberFormat="1" applyFont="1"/>
    <xf numFmtId="0" fontId="102" fillId="0" borderId="0" xfId="0" applyFont="1" applyAlignment="1">
      <alignment horizontal="center"/>
    </xf>
    <xf numFmtId="0" fontId="97" fillId="0" borderId="38" xfId="0" applyFont="1" applyBorder="1"/>
    <xf numFmtId="166" fontId="20" fillId="91" borderId="0" xfId="8160" applyNumberFormat="1" applyFont="1" applyFill="1" applyBorder="1"/>
    <xf numFmtId="166" fontId="20" fillId="0" borderId="0" xfId="8160" applyNumberFormat="1" applyFont="1" applyFill="1" applyBorder="1"/>
    <xf numFmtId="166" fontId="20" fillId="91" borderId="0" xfId="8160" applyNumberFormat="1" applyFont="1" applyFill="1" applyBorder="1" applyAlignment="1">
      <alignment horizontal="center"/>
    </xf>
    <xf numFmtId="166" fontId="20" fillId="0" borderId="0" xfId="8160" applyNumberFormat="1" applyFont="1" applyFill="1" applyAlignment="1">
      <alignment horizontal="center"/>
    </xf>
    <xf numFmtId="166" fontId="20" fillId="0" borderId="0" xfId="8160" applyNumberFormat="1" applyFont="1" applyFill="1" applyBorder="1" applyAlignment="1">
      <alignment horizontal="center"/>
    </xf>
    <xf numFmtId="37" fontId="20" fillId="91" borderId="0" xfId="8160" applyNumberFormat="1" applyFont="1" applyFill="1" applyBorder="1"/>
    <xf numFmtId="37" fontId="20" fillId="0" borderId="0" xfId="8160" applyNumberFormat="1" applyFont="1" applyFill="1" applyBorder="1"/>
    <xf numFmtId="166" fontId="20" fillId="91" borderId="0" xfId="8160" applyNumberFormat="1" applyFont="1" applyFill="1" applyBorder="1" applyAlignment="1">
      <alignment horizontal="right"/>
    </xf>
    <xf numFmtId="166" fontId="20" fillId="0" borderId="0" xfId="8160" applyNumberFormat="1" applyFont="1" applyFill="1" applyBorder="1" applyAlignment="1">
      <alignment horizontal="right"/>
    </xf>
    <xf numFmtId="167" fontId="20" fillId="0" borderId="0" xfId="0" applyNumberFormat="1" applyFont="1"/>
    <xf numFmtId="203" fontId="20" fillId="0" borderId="0" xfId="0" applyNumberFormat="1" applyFont="1" applyAlignment="1">
      <alignment horizontal="center"/>
    </xf>
    <xf numFmtId="167" fontId="20" fillId="0" borderId="0" xfId="0" applyNumberFormat="1" applyFont="1" applyAlignment="1">
      <alignment horizontal="center"/>
    </xf>
    <xf numFmtId="0" fontId="20" fillId="0" borderId="0" xfId="0" applyFont="1" applyAlignment="1">
      <alignment horizontal="center" vertical="center"/>
    </xf>
    <xf numFmtId="3" fontId="20" fillId="0" borderId="0" xfId="0" applyNumberFormat="1" applyFont="1" applyAlignment="1">
      <alignment horizontal="centerContinuous"/>
    </xf>
    <xf numFmtId="3" fontId="97" fillId="0" borderId="0" xfId="0" applyNumberFormat="1" applyFont="1"/>
    <xf numFmtId="3" fontId="20" fillId="0" borderId="0" xfId="0" applyNumberFormat="1" applyFont="1" applyAlignment="1">
      <alignment horizontal="left"/>
    </xf>
    <xf numFmtId="10" fontId="20" fillId="0" borderId="0" xfId="1" applyNumberFormat="1" applyFont="1"/>
    <xf numFmtId="0" fontId="97" fillId="91" borderId="0" xfId="47" applyFont="1" applyFill="1"/>
    <xf numFmtId="10" fontId="0" fillId="0" borderId="32" xfId="1" applyNumberFormat="1" applyFont="1" applyFill="1" applyBorder="1"/>
    <xf numFmtId="17" fontId="0" fillId="0" borderId="0" xfId="0" applyNumberFormat="1"/>
    <xf numFmtId="37" fontId="97" fillId="0" borderId="0" xfId="0" applyNumberFormat="1" applyFont="1"/>
    <xf numFmtId="0" fontId="20" fillId="91" borderId="0" xfId="0" applyFont="1" applyFill="1"/>
    <xf numFmtId="0" fontId="20" fillId="0" borderId="33" xfId="0" applyFont="1" applyBorder="1"/>
    <xf numFmtId="0" fontId="20" fillId="0" borderId="0" xfId="6" quotePrefix="1" applyFont="1" applyAlignment="1">
      <alignment horizontal="center" vertical="center"/>
    </xf>
    <xf numFmtId="0" fontId="20" fillId="91" borderId="0" xfId="0" applyFont="1" applyFill="1" applyAlignment="1">
      <alignment horizontal="left"/>
    </xf>
    <xf numFmtId="0" fontId="2" fillId="0" borderId="39" xfId="0" applyFont="1" applyBorder="1" applyAlignment="1">
      <alignment horizontal="center"/>
    </xf>
    <xf numFmtId="0" fontId="0" fillId="0" borderId="40" xfId="0" applyBorder="1"/>
    <xf numFmtId="0" fontId="0" fillId="0" borderId="41" xfId="0" applyBorder="1"/>
    <xf numFmtId="0" fontId="0" fillId="0" borderId="39" xfId="0" applyBorder="1"/>
    <xf numFmtId="0" fontId="97" fillId="0" borderId="8" xfId="0" applyFont="1" applyBorder="1" applyAlignment="1">
      <alignment horizontal="center" vertical="center"/>
    </xf>
    <xf numFmtId="164" fontId="97" fillId="0" borderId="8" xfId="0" applyNumberFormat="1" applyFont="1" applyBorder="1" applyAlignment="1">
      <alignment horizontal="center" vertical="center" wrapText="1"/>
    </xf>
    <xf numFmtId="169" fontId="97" fillId="0" borderId="8" xfId="0" applyNumberFormat="1" applyFont="1" applyBorder="1" applyAlignment="1">
      <alignment horizontal="center" vertical="center" wrapText="1"/>
    </xf>
    <xf numFmtId="5" fontId="20" fillId="0" borderId="0" xfId="0" applyNumberFormat="1" applyFont="1"/>
    <xf numFmtId="5" fontId="20" fillId="0" borderId="33" xfId="0" applyNumberFormat="1" applyFont="1" applyBorder="1"/>
    <xf numFmtId="5" fontId="20" fillId="91" borderId="0" xfId="6" applyNumberFormat="1" applyFont="1" applyFill="1"/>
    <xf numFmtId="5" fontId="0" fillId="91" borderId="0" xfId="47" applyNumberFormat="1" applyFont="1" applyFill="1"/>
    <xf numFmtId="5" fontId="20" fillId="0" borderId="0" xfId="9" applyNumberFormat="1" applyFont="1" applyFill="1" applyBorder="1"/>
    <xf numFmtId="5" fontId="20" fillId="0" borderId="0" xfId="9" applyNumberFormat="1" applyFont="1" applyBorder="1"/>
    <xf numFmtId="5" fontId="20" fillId="0" borderId="33" xfId="9" applyNumberFormat="1" applyFont="1" applyBorder="1"/>
    <xf numFmtId="5" fontId="0" fillId="91" borderId="0" xfId="9" applyNumberFormat="1" applyFont="1" applyFill="1" applyBorder="1"/>
    <xf numFmtId="7" fontId="20" fillId="0" borderId="0" xfId="1" applyNumberFormat="1" applyFont="1" applyBorder="1"/>
    <xf numFmtId="5" fontId="20" fillId="0" borderId="42" xfId="9" applyNumberFormat="1" applyFont="1" applyFill="1" applyBorder="1"/>
    <xf numFmtId="5" fontId="20" fillId="0" borderId="0" xfId="9" applyNumberFormat="1" applyFont="1" applyBorder="1" applyAlignment="1">
      <alignment horizontal="left" indent="1"/>
    </xf>
    <xf numFmtId="5" fontId="20" fillId="0" borderId="0" xfId="0" quotePrefix="1" applyNumberFormat="1" applyFont="1" applyAlignment="1">
      <alignment horizontal="right"/>
    </xf>
    <xf numFmtId="37" fontId="20" fillId="0" borderId="0" xfId="0" applyNumberFormat="1" applyFont="1"/>
    <xf numFmtId="37" fontId="3" fillId="0" borderId="0" xfId="0" applyNumberFormat="1" applyFont="1"/>
    <xf numFmtId="37" fontId="20" fillId="0" borderId="0" xfId="0" quotePrefix="1" applyNumberFormat="1" applyFont="1" applyAlignment="1">
      <alignment horizontal="center"/>
    </xf>
    <xf numFmtId="5" fontId="20" fillId="0" borderId="0" xfId="6" applyNumberFormat="1" applyFont="1" applyAlignment="1">
      <alignment horizontal="right"/>
    </xf>
    <xf numFmtId="5" fontId="20" fillId="0" borderId="33" xfId="9" applyNumberFormat="1" applyFont="1" applyFill="1" applyBorder="1"/>
    <xf numFmtId="5" fontId="0" fillId="0" borderId="0" xfId="0" applyNumberFormat="1" applyAlignment="1">
      <alignment horizontal="right"/>
    </xf>
    <xf numFmtId="5" fontId="3" fillId="0" borderId="0" xfId="0" applyNumberFormat="1" applyFont="1"/>
    <xf numFmtId="5" fontId="20" fillId="91" borderId="0" xfId="0" applyNumberFormat="1" applyFont="1" applyFill="1"/>
    <xf numFmtId="192" fontId="0" fillId="0" borderId="0" xfId="0" applyNumberFormat="1"/>
    <xf numFmtId="5" fontId="0" fillId="0" borderId="0" xfId="0" applyNumberFormat="1" applyAlignment="1">
      <alignment vertical="center"/>
    </xf>
    <xf numFmtId="10" fontId="0" fillId="91" borderId="0" xfId="1" applyNumberFormat="1" applyFont="1" applyFill="1" applyAlignment="1">
      <alignment vertical="center"/>
    </xf>
    <xf numFmtId="43" fontId="20" fillId="0" borderId="0" xfId="47" applyNumberFormat="1" applyFont="1"/>
    <xf numFmtId="5" fontId="20" fillId="0" borderId="0" xfId="47" applyNumberFormat="1" applyFont="1"/>
    <xf numFmtId="5" fontId="97" fillId="0" borderId="0" xfId="47" applyNumberFormat="1" applyFont="1"/>
    <xf numFmtId="5" fontId="20" fillId="0" borderId="32" xfId="47" applyNumberFormat="1" applyFont="1" applyBorder="1"/>
    <xf numFmtId="5" fontId="97" fillId="0" borderId="0" xfId="47" applyNumberFormat="1" applyFont="1" applyAlignment="1">
      <alignment horizontal="right"/>
    </xf>
    <xf numFmtId="5" fontId="20" fillId="91" borderId="0" xfId="47" applyNumberFormat="1" applyFont="1" applyFill="1"/>
    <xf numFmtId="5" fontId="20" fillId="91" borderId="32" xfId="47" applyNumberFormat="1" applyFont="1" applyFill="1" applyBorder="1"/>
    <xf numFmtId="44" fontId="0" fillId="0" borderId="0" xfId="0" applyNumberFormat="1" applyAlignment="1">
      <alignment horizontal="left"/>
    </xf>
    <xf numFmtId="44" fontId="0" fillId="92" borderId="0" xfId="0" applyNumberFormat="1" applyFill="1" applyAlignment="1">
      <alignment horizontal="left"/>
    </xf>
    <xf numFmtId="164" fontId="0" fillId="0" borderId="0" xfId="0" applyNumberFormat="1" applyAlignment="1">
      <alignment horizontal="left"/>
    </xf>
    <xf numFmtId="5" fontId="20" fillId="0" borderId="0" xfId="4" applyNumberFormat="1" applyFont="1" applyFill="1"/>
    <xf numFmtId="5" fontId="20" fillId="0" borderId="0" xfId="4" applyNumberFormat="1" applyFont="1"/>
    <xf numFmtId="5" fontId="20" fillId="0" borderId="32" xfId="4" applyNumberFormat="1" applyFont="1" applyBorder="1"/>
    <xf numFmtId="5" fontId="20" fillId="91" borderId="0" xfId="8160" applyNumberFormat="1" applyFont="1" applyFill="1" applyBorder="1" applyProtection="1">
      <protection locked="0"/>
    </xf>
    <xf numFmtId="5" fontId="20" fillId="91" borderId="32" xfId="8160" applyNumberFormat="1" applyFont="1" applyFill="1" applyBorder="1" applyProtection="1">
      <protection locked="0"/>
    </xf>
    <xf numFmtId="5" fontId="20" fillId="91" borderId="0" xfId="0" applyNumberFormat="1" applyFont="1" applyFill="1" applyProtection="1">
      <protection locked="0"/>
    </xf>
    <xf numFmtId="5" fontId="20" fillId="91" borderId="0" xfId="0" applyNumberFormat="1" applyFont="1" applyFill="1" applyAlignment="1">
      <alignment horizontal="center"/>
    </xf>
    <xf numFmtId="5" fontId="97" fillId="0" borderId="0" xfId="0" applyNumberFormat="1" applyFont="1"/>
    <xf numFmtId="5" fontId="20" fillId="91" borderId="0" xfId="8" applyNumberFormat="1" applyFont="1" applyFill="1"/>
    <xf numFmtId="5" fontId="20" fillId="91" borderId="0" xfId="8" applyNumberFormat="1" applyFont="1" applyFill="1" applyBorder="1"/>
    <xf numFmtId="5" fontId="20" fillId="0" borderId="0" xfId="8" applyNumberFormat="1" applyFont="1" applyFill="1" applyBorder="1"/>
    <xf numFmtId="5" fontId="20" fillId="0" borderId="32" xfId="8" applyNumberFormat="1" applyFont="1" applyFill="1" applyBorder="1"/>
    <xf numFmtId="5" fontId="0" fillId="91" borderId="0" xfId="8" applyNumberFormat="1" applyFont="1" applyFill="1"/>
    <xf numFmtId="5" fontId="20" fillId="91" borderId="32" xfId="8" applyNumberFormat="1" applyFont="1" applyFill="1" applyBorder="1"/>
    <xf numFmtId="5" fontId="0" fillId="0" borderId="32" xfId="8" applyNumberFormat="1" applyFont="1" applyFill="1" applyBorder="1"/>
    <xf numFmtId="5" fontId="0" fillId="0" borderId="0" xfId="8" applyNumberFormat="1" applyFont="1" applyFill="1"/>
    <xf numFmtId="5" fontId="0" fillId="91" borderId="32" xfId="8" applyNumberFormat="1" applyFont="1" applyFill="1" applyBorder="1"/>
    <xf numFmtId="5" fontId="20" fillId="0" borderId="0" xfId="0" applyNumberFormat="1" applyFont="1" applyAlignment="1">
      <alignment horizontal="right"/>
    </xf>
    <xf numFmtId="5" fontId="20" fillId="0" borderId="0" xfId="9" applyNumberFormat="1" applyFont="1" applyFill="1"/>
    <xf numFmtId="5" fontId="20" fillId="0" borderId="32" xfId="9" applyNumberFormat="1" applyFont="1" applyFill="1" applyBorder="1"/>
    <xf numFmtId="5" fontId="0" fillId="91" borderId="0" xfId="9" applyNumberFormat="1" applyFont="1" applyFill="1"/>
    <xf numFmtId="5" fontId="20" fillId="91" borderId="32" xfId="9" applyNumberFormat="1" applyFont="1" applyFill="1" applyBorder="1"/>
    <xf numFmtId="5" fontId="0" fillId="0" borderId="0" xfId="9" applyNumberFormat="1" applyFont="1" applyFill="1"/>
    <xf numFmtId="5" fontId="0" fillId="91" borderId="0" xfId="8" applyNumberFormat="1" applyFont="1" applyFill="1" applyBorder="1"/>
    <xf numFmtId="5" fontId="119" fillId="0" borderId="0" xfId="49" applyNumberFormat="1" applyAlignment="1">
      <alignment horizontal="right"/>
    </xf>
    <xf numFmtId="5" fontId="0" fillId="0" borderId="0" xfId="4" applyNumberFormat="1" applyFont="1" applyFill="1" applyAlignment="1">
      <alignment horizontal="right"/>
    </xf>
    <xf numFmtId="5" fontId="0" fillId="0" borderId="0" xfId="8" applyNumberFormat="1" applyFont="1" applyFill="1" applyBorder="1"/>
    <xf numFmtId="5" fontId="0" fillId="0" borderId="0" xfId="4" applyNumberFormat="1" applyFont="1" applyFill="1" applyBorder="1"/>
    <xf numFmtId="5" fontId="20" fillId="0" borderId="32" xfId="0" applyNumberFormat="1" applyFont="1" applyBorder="1"/>
    <xf numFmtId="5" fontId="2" fillId="0" borderId="0" xfId="8" applyNumberFormat="1" applyFont="1" applyFill="1"/>
    <xf numFmtId="5" fontId="0" fillId="0" borderId="0" xfId="8" applyNumberFormat="1" applyFont="1"/>
    <xf numFmtId="5" fontId="0" fillId="0" borderId="0" xfId="8" applyNumberFormat="1" applyFont="1" applyBorder="1"/>
    <xf numFmtId="5" fontId="2" fillId="0" borderId="0" xfId="8" applyNumberFormat="1" applyFont="1" applyFill="1" applyBorder="1"/>
    <xf numFmtId="5" fontId="20" fillId="91" borderId="0" xfId="9" applyNumberFormat="1" applyFont="1" applyFill="1" applyBorder="1" applyAlignment="1">
      <alignment horizontal="right"/>
    </xf>
    <xf numFmtId="5" fontId="20" fillId="0" borderId="0" xfId="9" applyNumberFormat="1" applyFont="1" applyFill="1" applyBorder="1" applyAlignment="1">
      <alignment horizontal="right"/>
    </xf>
    <xf numFmtId="5" fontId="20" fillId="91" borderId="32" xfId="9" applyNumberFormat="1" applyFont="1" applyFill="1" applyBorder="1" applyAlignment="1">
      <alignment horizontal="right"/>
    </xf>
    <xf numFmtId="5" fontId="20" fillId="0" borderId="32" xfId="9" applyNumberFormat="1" applyFont="1" applyFill="1" applyBorder="1" applyAlignment="1">
      <alignment horizontal="right"/>
    </xf>
    <xf numFmtId="5" fontId="20" fillId="0" borderId="0" xfId="8" applyNumberFormat="1" applyFont="1" applyFill="1" applyBorder="1" applyAlignment="1">
      <alignment horizontal="right"/>
    </xf>
    <xf numFmtId="5" fontId="97" fillId="0" borderId="0" xfId="8" applyNumberFormat="1" applyFont="1" applyFill="1" applyBorder="1" applyAlignment="1">
      <alignment horizontal="right"/>
    </xf>
    <xf numFmtId="5" fontId="0" fillId="91" borderId="0" xfId="0" applyNumberFormat="1" applyFill="1" applyAlignment="1">
      <alignment horizontal="right"/>
    </xf>
    <xf numFmtId="5" fontId="2" fillId="91" borderId="0" xfId="0" applyNumberFormat="1" applyFont="1" applyFill="1"/>
    <xf numFmtId="5" fontId="0" fillId="91" borderId="0" xfId="4" applyNumberFormat="1" applyFont="1" applyFill="1" applyBorder="1"/>
    <xf numFmtId="5" fontId="0" fillId="0" borderId="0" xfId="4" applyNumberFormat="1" applyFont="1" applyBorder="1"/>
    <xf numFmtId="3" fontId="98" fillId="0" borderId="0" xfId="0" quotePrefix="1" applyNumberFormat="1" applyFont="1" applyAlignment="1">
      <alignment horizontal="centerContinuous"/>
    </xf>
    <xf numFmtId="3" fontId="98" fillId="0" borderId="0" xfId="0" quotePrefix="1" applyNumberFormat="1" applyFont="1" applyAlignment="1">
      <alignment horizontal="center"/>
    </xf>
    <xf numFmtId="167" fontId="98" fillId="0" borderId="0" xfId="0" quotePrefix="1" applyNumberFormat="1" applyFont="1" applyAlignment="1">
      <alignment horizontal="center"/>
    </xf>
    <xf numFmtId="5" fontId="0" fillId="0" borderId="0" xfId="9" applyNumberFormat="1" applyFont="1" applyFill="1" applyBorder="1"/>
    <xf numFmtId="10" fontId="2" fillId="0" borderId="32" xfId="1" applyNumberFormat="1" applyFont="1" applyFill="1" applyBorder="1"/>
    <xf numFmtId="0" fontId="97" fillId="0" borderId="0" xfId="0" applyFont="1" applyAlignment="1">
      <alignment horizontal="center" vertical="top"/>
    </xf>
    <xf numFmtId="0" fontId="97" fillId="0" borderId="8" xfId="0" applyFont="1" applyBorder="1" applyAlignment="1">
      <alignment horizontal="center" vertical="top" wrapText="1"/>
    </xf>
    <xf numFmtId="166" fontId="20" fillId="0" borderId="0" xfId="0" applyNumberFormat="1" applyFont="1"/>
    <xf numFmtId="199" fontId="20" fillId="0" borderId="0" xfId="0" applyNumberFormat="1" applyFont="1"/>
    <xf numFmtId="5" fontId="97" fillId="0" borderId="33" xfId="0" applyNumberFormat="1" applyFont="1" applyBorder="1"/>
    <xf numFmtId="166" fontId="20" fillId="0" borderId="0" xfId="0" applyNumberFormat="1" applyFont="1" applyAlignment="1">
      <alignment horizontal="right"/>
    </xf>
    <xf numFmtId="10" fontId="0" fillId="0" borderId="0" xfId="1" applyNumberFormat="1" applyFont="1" applyFill="1" applyAlignment="1">
      <alignment horizontal="right" indent="1"/>
    </xf>
    <xf numFmtId="10" fontId="0" fillId="0" borderId="0" xfId="1" applyNumberFormat="1" applyFont="1" applyFill="1" applyAlignment="1">
      <alignment horizontal="right"/>
    </xf>
    <xf numFmtId="0" fontId="2" fillId="0" borderId="32" xfId="0" applyFont="1" applyBorder="1" applyAlignment="1">
      <alignment horizontal="center" wrapText="1"/>
    </xf>
    <xf numFmtId="10" fontId="0" fillId="0" borderId="0" xfId="4" applyNumberFormat="1" applyFont="1" applyFill="1" applyAlignment="1">
      <alignment horizontal="right"/>
    </xf>
    <xf numFmtId="0" fontId="0" fillId="0" borderId="33" xfId="0" applyBorder="1"/>
    <xf numFmtId="0" fontId="0" fillId="91" borderId="39" xfId="0" applyFill="1" applyBorder="1"/>
    <xf numFmtId="168" fontId="0" fillId="0" borderId="0" xfId="1" applyNumberFormat="1" applyFont="1" applyFill="1"/>
    <xf numFmtId="10" fontId="2" fillId="0" borderId="0" xfId="0" applyNumberFormat="1" applyFont="1" applyAlignment="1">
      <alignment horizontal="center"/>
    </xf>
    <xf numFmtId="164" fontId="98" fillId="0" borderId="0" xfId="9" applyNumberFormat="1" applyFont="1" applyFill="1" applyBorder="1" applyAlignment="1">
      <alignment horizontal="center"/>
    </xf>
    <xf numFmtId="164" fontId="20" fillId="0" borderId="32" xfId="6" applyNumberFormat="1" applyFont="1" applyBorder="1"/>
    <xf numFmtId="166" fontId="0" fillId="0" borderId="32" xfId="4" applyNumberFormat="1" applyFont="1" applyFill="1" applyBorder="1"/>
    <xf numFmtId="5" fontId="0" fillId="0" borderId="32" xfId="0" applyNumberFormat="1" applyBorder="1"/>
    <xf numFmtId="9" fontId="20" fillId="0" borderId="0" xfId="9" applyNumberFormat="1" applyFont="1" applyFill="1" applyBorder="1"/>
    <xf numFmtId="5" fontId="4" fillId="0" borderId="0" xfId="0" applyNumberFormat="1" applyFont="1" applyAlignment="1">
      <alignment horizontal="center"/>
    </xf>
    <xf numFmtId="164" fontId="98" fillId="0" borderId="0" xfId="9" applyNumberFormat="1" applyFont="1" applyFill="1" applyBorder="1" applyAlignment="1">
      <alignment horizontal="center" wrapText="1"/>
    </xf>
    <xf numFmtId="0" fontId="98" fillId="0" borderId="0" xfId="6" applyFont="1" applyAlignment="1">
      <alignment horizontal="center" wrapText="1"/>
    </xf>
    <xf numFmtId="166" fontId="0" fillId="0" borderId="0" xfId="0" quotePrefix="1" applyNumberFormat="1"/>
    <xf numFmtId="164" fontId="97" fillId="0" borderId="0" xfId="6" applyNumberFormat="1" applyFont="1"/>
    <xf numFmtId="166" fontId="2" fillId="0" borderId="0" xfId="0" applyNumberFormat="1" applyFont="1"/>
    <xf numFmtId="6" fontId="0" fillId="0" borderId="0" xfId="4" applyNumberFormat="1" applyFont="1" applyFill="1"/>
    <xf numFmtId="5" fontId="2" fillId="0" borderId="42" xfId="0" applyNumberFormat="1" applyFont="1" applyBorder="1"/>
    <xf numFmtId="14" fontId="20" fillId="91" borderId="0" xfId="0" quotePrefix="1" applyNumberFormat="1" applyFont="1" applyFill="1" applyAlignment="1">
      <alignment horizontal="right" vertical="center"/>
    </xf>
    <xf numFmtId="14" fontId="20" fillId="91" borderId="0" xfId="0" applyNumberFormat="1" applyFont="1" applyFill="1" applyAlignment="1">
      <alignment horizontal="right" vertical="center"/>
    </xf>
    <xf numFmtId="10" fontId="2" fillId="0" borderId="33" xfId="0" applyNumberFormat="1" applyFont="1" applyBorder="1"/>
    <xf numFmtId="164" fontId="2" fillId="0" borderId="0" xfId="4" applyNumberFormat="1" applyFont="1"/>
    <xf numFmtId="0" fontId="97" fillId="0" borderId="0" xfId="47" applyFont="1" applyAlignment="1">
      <alignment horizontal="left" indent="1"/>
    </xf>
    <xf numFmtId="2" fontId="97" fillId="0" borderId="0" xfId="0" applyNumberFormat="1" applyFont="1" applyAlignment="1">
      <alignment horizontal="left"/>
    </xf>
    <xf numFmtId="5" fontId="97" fillId="0" borderId="0" xfId="0" applyNumberFormat="1" applyFont="1" applyProtection="1">
      <protection locked="0"/>
    </xf>
    <xf numFmtId="10" fontId="97" fillId="91" borderId="0" xfId="1" applyNumberFormat="1" applyFont="1" applyFill="1" applyBorder="1" applyProtection="1">
      <protection locked="0"/>
    </xf>
    <xf numFmtId="2" fontId="98" fillId="0" borderId="0" xfId="0" applyNumberFormat="1" applyFont="1" applyAlignment="1">
      <alignment horizontal="left"/>
    </xf>
    <xf numFmtId="0" fontId="97" fillId="0" borderId="33" xfId="0" applyFont="1" applyBorder="1" applyAlignment="1">
      <alignment horizontal="center" vertical="center" wrapText="1"/>
    </xf>
    <xf numFmtId="5" fontId="97" fillId="0" borderId="33" xfId="8" applyNumberFormat="1" applyFont="1" applyFill="1" applyBorder="1"/>
    <xf numFmtId="0" fontId="97" fillId="0" borderId="33" xfId="0" applyFont="1" applyBorder="1"/>
    <xf numFmtId="0" fontId="97" fillId="0" borderId="0" xfId="6" applyFont="1" applyAlignment="1">
      <alignment horizontal="left"/>
    </xf>
    <xf numFmtId="5" fontId="97" fillId="0" borderId="0" xfId="9" applyNumberFormat="1" applyFont="1" applyFill="1"/>
    <xf numFmtId="165" fontId="2" fillId="0" borderId="0" xfId="0" applyNumberFormat="1" applyFont="1"/>
    <xf numFmtId="5" fontId="2" fillId="0" borderId="0" xfId="9" applyNumberFormat="1" applyFont="1" applyFill="1"/>
    <xf numFmtId="5" fontId="97" fillId="0" borderId="0" xfId="9" applyNumberFormat="1" applyFont="1" applyFill="1" applyBorder="1" applyAlignment="1">
      <alignment horizontal="right"/>
    </xf>
    <xf numFmtId="5" fontId="97" fillId="0" borderId="0" xfId="9" applyNumberFormat="1" applyFont="1" applyBorder="1"/>
    <xf numFmtId="164" fontId="97" fillId="0" borderId="0" xfId="9" applyNumberFormat="1" applyFont="1" applyFill="1" applyBorder="1"/>
    <xf numFmtId="5" fontId="97" fillId="0" borderId="0" xfId="9" applyNumberFormat="1" applyFont="1" applyFill="1" applyBorder="1"/>
    <xf numFmtId="37" fontId="97" fillId="0" borderId="0" xfId="0" quotePrefix="1" applyNumberFormat="1" applyFont="1" applyAlignment="1">
      <alignment horizontal="right"/>
    </xf>
    <xf numFmtId="0" fontId="97" fillId="0" borderId="0" xfId="0" applyFont="1" applyAlignment="1">
      <alignment wrapText="1"/>
    </xf>
    <xf numFmtId="166" fontId="2" fillId="0" borderId="0" xfId="4" applyNumberFormat="1" applyFont="1" applyFill="1"/>
    <xf numFmtId="5" fontId="2" fillId="0" borderId="32" xfId="4" applyNumberFormat="1" applyFont="1" applyFill="1" applyBorder="1"/>
    <xf numFmtId="167" fontId="2" fillId="0" borderId="0" xfId="0" applyNumberFormat="1" applyFont="1"/>
    <xf numFmtId="5" fontId="97" fillId="0" borderId="0" xfId="6" applyNumberFormat="1" applyFont="1" applyAlignment="1">
      <alignment horizontal="right"/>
    </xf>
    <xf numFmtId="200" fontId="2" fillId="0" borderId="0" xfId="0" applyNumberFormat="1" applyFont="1"/>
    <xf numFmtId="0" fontId="20" fillId="0" borderId="32" xfId="47" applyFont="1" applyBorder="1"/>
    <xf numFmtId="0" fontId="20" fillId="0" borderId="32" xfId="47" applyFont="1" applyBorder="1" applyAlignment="1">
      <alignment horizontal="center"/>
    </xf>
    <xf numFmtId="5" fontId="20" fillId="0" borderId="32" xfId="0" applyNumberFormat="1" applyFont="1" applyBorder="1" applyAlignment="1">
      <alignment horizontal="right"/>
    </xf>
    <xf numFmtId="5" fontId="20" fillId="0" borderId="32" xfId="0" quotePrefix="1" applyNumberFormat="1" applyFont="1" applyBorder="1" applyAlignment="1">
      <alignment horizontal="center"/>
    </xf>
    <xf numFmtId="5" fontId="97" fillId="0" borderId="43" xfId="6" applyNumberFormat="1" applyFont="1" applyBorder="1" applyAlignment="1">
      <alignment horizontal="right"/>
    </xf>
    <xf numFmtId="0" fontId="0" fillId="91" borderId="0" xfId="0" applyFill="1" applyAlignment="1">
      <alignment horizontal="left"/>
    </xf>
    <xf numFmtId="10" fontId="0" fillId="0" borderId="32" xfId="1" applyNumberFormat="1" applyFont="1" applyFill="1" applyBorder="1" applyAlignment="1">
      <alignment horizontal="right"/>
    </xf>
    <xf numFmtId="37" fontId="0" fillId="91" borderId="0" xfId="1" applyNumberFormat="1" applyFont="1" applyFill="1" applyAlignment="1">
      <alignment horizontal="right"/>
    </xf>
    <xf numFmtId="37" fontId="0" fillId="91" borderId="32" xfId="1" applyNumberFormat="1" applyFont="1" applyFill="1" applyBorder="1" applyAlignment="1">
      <alignment horizontal="right"/>
    </xf>
    <xf numFmtId="10" fontId="97" fillId="0" borderId="14" xfId="1" applyNumberFormat="1" applyFont="1" applyFill="1" applyBorder="1" applyAlignment="1">
      <alignment horizontal="center"/>
    </xf>
    <xf numFmtId="0" fontId="97" fillId="0" borderId="0" xfId="6" quotePrefix="1" applyFont="1" applyAlignment="1">
      <alignment horizontal="center"/>
    </xf>
    <xf numFmtId="5" fontId="20" fillId="91" borderId="0" xfId="4" applyNumberFormat="1" applyFont="1" applyFill="1" applyBorder="1" applyAlignment="1">
      <alignment horizontal="right" indent="1"/>
    </xf>
    <xf numFmtId="14" fontId="20" fillId="91" borderId="0" xfId="0" applyNumberFormat="1" applyFont="1" applyFill="1" applyAlignment="1">
      <alignment horizontal="center"/>
    </xf>
    <xf numFmtId="43" fontId="0" fillId="0" borderId="0" xfId="0" applyNumberFormat="1"/>
    <xf numFmtId="5" fontId="0" fillId="0" borderId="0" xfId="0" applyNumberFormat="1" applyAlignment="1">
      <alignment horizontal="left"/>
    </xf>
    <xf numFmtId="5" fontId="2" fillId="0" borderId="33" xfId="4" applyNumberFormat="1" applyFont="1" applyFill="1" applyBorder="1"/>
    <xf numFmtId="10" fontId="2" fillId="0" borderId="0" xfId="0" applyNumberFormat="1" applyFont="1" applyAlignment="1">
      <alignment horizontal="right"/>
    </xf>
    <xf numFmtId="5" fontId="0" fillId="0" borderId="32" xfId="4" quotePrefix="1" applyNumberFormat="1" applyFont="1" applyFill="1" applyBorder="1" applyAlignment="1"/>
    <xf numFmtId="0" fontId="20" fillId="0" borderId="0" xfId="6" applyFont="1" applyAlignment="1">
      <alignment horizontal="center" wrapText="1"/>
    </xf>
    <xf numFmtId="164" fontId="20" fillId="0" borderId="0" xfId="9" applyNumberFormat="1" applyFont="1" applyFill="1" applyBorder="1" applyAlignment="1">
      <alignment horizontal="center" wrapText="1"/>
    </xf>
    <xf numFmtId="3" fontId="98" fillId="0" borderId="44" xfId="0" quotePrefix="1" applyNumberFormat="1" applyFont="1" applyBorder="1" applyAlignment="1">
      <alignment horizontal="center"/>
    </xf>
    <xf numFmtId="3" fontId="98" fillId="0" borderId="45" xfId="0" quotePrefix="1" applyNumberFormat="1" applyFont="1" applyBorder="1" applyAlignment="1">
      <alignment horizontal="center"/>
    </xf>
    <xf numFmtId="167" fontId="20" fillId="0" borderId="45" xfId="0" applyNumberFormat="1" applyFont="1" applyBorder="1" applyAlignment="1">
      <alignment horizontal="center"/>
    </xf>
    <xf numFmtId="167" fontId="96" fillId="0" borderId="45" xfId="0" applyNumberFormat="1" applyFont="1" applyBorder="1" applyAlignment="1">
      <alignment horizontal="center"/>
    </xf>
    <xf numFmtId="167" fontId="20" fillId="0" borderId="45" xfId="0" applyNumberFormat="1" applyFont="1" applyBorder="1"/>
    <xf numFmtId="10" fontId="97" fillId="0" borderId="43" xfId="1" applyNumberFormat="1" applyFont="1" applyFill="1" applyBorder="1" applyAlignment="1">
      <alignment horizontal="center"/>
    </xf>
    <xf numFmtId="0" fontId="1" fillId="0" borderId="0" xfId="24911"/>
    <xf numFmtId="0" fontId="110" fillId="0" borderId="0" xfId="47" applyFont="1" applyAlignment="1">
      <alignment horizontal="center"/>
    </xf>
    <xf numFmtId="0" fontId="1" fillId="0" borderId="0" xfId="24911" applyAlignment="1">
      <alignment horizontal="center"/>
    </xf>
    <xf numFmtId="0" fontId="0" fillId="0" borderId="0" xfId="31683" applyFont="1"/>
    <xf numFmtId="0" fontId="97" fillId="0" borderId="32" xfId="31683" applyFont="1" applyBorder="1" applyAlignment="1">
      <alignment horizontal="center"/>
    </xf>
    <xf numFmtId="0" fontId="97" fillId="0" borderId="0" xfId="31683" applyFont="1" applyAlignment="1">
      <alignment horizontal="center"/>
    </xf>
    <xf numFmtId="37" fontId="97" fillId="0" borderId="0" xfId="31683" applyNumberFormat="1" applyFont="1"/>
    <xf numFmtId="37" fontId="97" fillId="0" borderId="0" xfId="31683" applyNumberFormat="1" applyFont="1" applyAlignment="1">
      <alignment horizontal="center"/>
    </xf>
    <xf numFmtId="37" fontId="97" fillId="0" borderId="0" xfId="31683" quotePrefix="1" applyNumberFormat="1" applyFont="1" applyAlignment="1">
      <alignment horizontal="center"/>
    </xf>
    <xf numFmtId="0" fontId="0" fillId="0" borderId="0" xfId="31683" quotePrefix="1" applyFont="1" applyAlignment="1">
      <alignment horizontal="center"/>
    </xf>
    <xf numFmtId="0" fontId="0" fillId="0" borderId="0" xfId="31683" applyFont="1" applyAlignment="1">
      <alignment horizontal="center"/>
    </xf>
    <xf numFmtId="39" fontId="97" fillId="0" borderId="0" xfId="31683" quotePrefix="1" applyNumberFormat="1" applyFont="1" applyAlignment="1">
      <alignment horizontal="center"/>
    </xf>
    <xf numFmtId="0" fontId="0" fillId="0" borderId="26" xfId="31683" applyFont="1" applyBorder="1"/>
    <xf numFmtId="14" fontId="0" fillId="0" borderId="26" xfId="31683" applyNumberFormat="1" applyFont="1" applyBorder="1" applyAlignment="1">
      <alignment horizontal="center"/>
    </xf>
    <xf numFmtId="37" fontId="97" fillId="0" borderId="26" xfId="31683" applyNumberFormat="1" applyFont="1" applyBorder="1" applyAlignment="1">
      <alignment horizontal="center"/>
    </xf>
    <xf numFmtId="204" fontId="97" fillId="0" borderId="26" xfId="31683" applyNumberFormat="1" applyFont="1" applyBorder="1" applyAlignment="1">
      <alignment horizontal="center"/>
    </xf>
    <xf numFmtId="39" fontId="97" fillId="0" borderId="26" xfId="31683" applyNumberFormat="1" applyFont="1" applyBorder="1" applyAlignment="1">
      <alignment horizontal="center"/>
    </xf>
    <xf numFmtId="0" fontId="97" fillId="0" borderId="26" xfId="31683" applyFont="1" applyBorder="1" applyAlignment="1">
      <alignment horizontal="center"/>
    </xf>
    <xf numFmtId="204" fontId="97" fillId="0" borderId="0" xfId="31683" applyNumberFormat="1" applyFont="1" applyAlignment="1">
      <alignment horizontal="center"/>
    </xf>
    <xf numFmtId="39" fontId="97" fillId="0" borderId="0" xfId="31683" applyNumberFormat="1" applyFont="1" applyAlignment="1">
      <alignment horizontal="center"/>
    </xf>
    <xf numFmtId="37" fontId="20" fillId="0" borderId="0" xfId="31683" applyNumberFormat="1" applyFont="1" applyAlignment="1">
      <alignment horizontal="right"/>
    </xf>
    <xf numFmtId="37" fontId="0" fillId="0" borderId="0" xfId="31683" applyNumberFormat="1" applyFont="1"/>
    <xf numFmtId="37" fontId="20" fillId="0" borderId="0" xfId="31683" applyNumberFormat="1" applyFont="1" applyAlignment="1">
      <alignment horizontal="center"/>
    </xf>
    <xf numFmtId="37" fontId="20" fillId="0" borderId="32" xfId="31683" applyNumberFormat="1" applyFont="1" applyBorder="1" applyAlignment="1">
      <alignment horizontal="right"/>
    </xf>
    <xf numFmtId="37" fontId="0" fillId="0" borderId="32" xfId="31683" applyNumberFormat="1" applyFont="1" applyBorder="1"/>
    <xf numFmtId="0" fontId="0" fillId="0" borderId="0" xfId="24911" applyFont="1"/>
    <xf numFmtId="0" fontId="0" fillId="0" borderId="32" xfId="31683" applyFont="1" applyBorder="1"/>
    <xf numFmtId="0" fontId="20" fillId="0" borderId="0" xfId="47" applyFont="1" applyAlignment="1">
      <alignment horizontal="fill"/>
    </xf>
    <xf numFmtId="0" fontId="20" fillId="0" borderId="32" xfId="16013" applyFont="1" applyBorder="1"/>
    <xf numFmtId="0" fontId="0" fillId="0" borderId="0" xfId="31683" applyFont="1" applyAlignment="1">
      <alignment horizontal="right"/>
    </xf>
    <xf numFmtId="37" fontId="2" fillId="0" borderId="0" xfId="31683" applyNumberFormat="1" applyFont="1"/>
    <xf numFmtId="0" fontId="4" fillId="0" borderId="0" xfId="24911" applyFont="1" applyAlignment="1">
      <alignment horizontal="center"/>
    </xf>
    <xf numFmtId="0" fontId="110" fillId="0" borderId="0" xfId="47" applyFont="1"/>
    <xf numFmtId="0" fontId="97" fillId="91" borderId="0" xfId="0" applyFont="1" applyFill="1" applyAlignment="1">
      <alignment horizontal="left"/>
    </xf>
    <xf numFmtId="5" fontId="20" fillId="91" borderId="0" xfId="0" applyNumberFormat="1" applyFont="1" applyFill="1" applyAlignment="1">
      <alignment horizontal="right"/>
    </xf>
    <xf numFmtId="37" fontId="0" fillId="93" borderId="0" xfId="31683" applyNumberFormat="1" applyFont="1" applyFill="1"/>
    <xf numFmtId="0" fontId="0" fillId="93" borderId="0" xfId="31683" applyFont="1" applyFill="1" applyAlignment="1">
      <alignment horizontal="center"/>
    </xf>
    <xf numFmtId="0" fontId="0" fillId="93" borderId="0" xfId="31683" applyFont="1" applyFill="1" applyAlignment="1">
      <alignment horizontal="left"/>
    </xf>
    <xf numFmtId="37" fontId="0" fillId="0" borderId="32" xfId="0" applyNumberFormat="1" applyBorder="1"/>
    <xf numFmtId="5" fontId="20" fillId="91" borderId="0" xfId="7" applyNumberFormat="1" applyFont="1" applyFill="1"/>
    <xf numFmtId="5" fontId="96" fillId="91" borderId="0" xfId="7" applyNumberFormat="1" applyFont="1" applyFill="1"/>
    <xf numFmtId="5" fontId="97" fillId="0" borderId="34" xfId="7" applyNumberFormat="1" applyFont="1" applyBorder="1" applyAlignment="1">
      <alignment vertical="center"/>
    </xf>
    <xf numFmtId="5" fontId="20" fillId="0" borderId="0" xfId="7" applyNumberFormat="1" applyFont="1"/>
    <xf numFmtId="0" fontId="20" fillId="0" borderId="0" xfId="0" applyFont="1" applyAlignment="1">
      <alignment horizontal="right" wrapText="1"/>
    </xf>
    <xf numFmtId="0" fontId="96" fillId="0" borderId="0" xfId="6" quotePrefix="1" applyFont="1" applyAlignment="1">
      <alignment horizontal="center"/>
    </xf>
    <xf numFmtId="0" fontId="97" fillId="0" borderId="33" xfId="6" applyFont="1" applyBorder="1" applyAlignment="1">
      <alignment horizontal="left"/>
    </xf>
    <xf numFmtId="0" fontId="97" fillId="0" borderId="33" xfId="6" quotePrefix="1" applyFont="1" applyBorder="1" applyAlignment="1">
      <alignment horizontal="left"/>
    </xf>
    <xf numFmtId="5" fontId="97" fillId="0" borderId="33" xfId="9" applyNumberFormat="1" applyFont="1" applyFill="1" applyBorder="1"/>
    <xf numFmtId="5" fontId="2" fillId="0" borderId="33" xfId="0" applyNumberFormat="1" applyFont="1" applyBorder="1"/>
    <xf numFmtId="6" fontId="100" fillId="0" borderId="0" xfId="0" applyNumberFormat="1" applyFont="1"/>
    <xf numFmtId="0" fontId="20" fillId="93" borderId="0" xfId="11" applyFont="1" applyFill="1" applyAlignment="1">
      <alignment horizontal="left" vertical="center"/>
    </xf>
    <xf numFmtId="5" fontId="20" fillId="0" borderId="0" xfId="6" applyNumberFormat="1" applyFont="1"/>
    <xf numFmtId="5" fontId="0" fillId="0" borderId="0" xfId="9" applyNumberFormat="1" applyFont="1"/>
    <xf numFmtId="5" fontId="20" fillId="91" borderId="0" xfId="9" applyNumberFormat="1" applyFont="1" applyFill="1"/>
    <xf numFmtId="6" fontId="20" fillId="91" borderId="0" xfId="4" applyNumberFormat="1" applyFont="1" applyFill="1"/>
    <xf numFmtId="164" fontId="20" fillId="0" borderId="46" xfId="47" applyNumberFormat="1" applyFont="1" applyBorder="1"/>
    <xf numFmtId="164" fontId="96" fillId="0" borderId="46" xfId="47" applyNumberFormat="1" applyFont="1" applyBorder="1"/>
    <xf numFmtId="164" fontId="96" fillId="0" borderId="0" xfId="47" applyNumberFormat="1" applyFont="1" applyAlignment="1">
      <alignment horizontal="right"/>
    </xf>
    <xf numFmtId="166" fontId="20" fillId="0" borderId="0" xfId="4" applyNumberFormat="1" applyFont="1"/>
    <xf numFmtId="0" fontId="0" fillId="0" borderId="6" xfId="47" applyFont="1" applyBorder="1" applyAlignment="1">
      <alignment horizontal="right"/>
    </xf>
    <xf numFmtId="5" fontId="97" fillId="0" borderId="33" xfId="47" applyNumberFormat="1" applyFont="1" applyBorder="1"/>
    <xf numFmtId="0" fontId="0" fillId="0" borderId="0" xfId="47" applyFont="1" applyAlignment="1">
      <alignment horizontal="left" indent="1"/>
    </xf>
    <xf numFmtId="167" fontId="104" fillId="0" borderId="0" xfId="47" applyNumberFormat="1" applyFont="1" applyAlignment="1">
      <alignment horizontal="left"/>
    </xf>
    <xf numFmtId="166" fontId="20" fillId="0" borderId="0" xfId="47" applyNumberFormat="1" applyFont="1"/>
    <xf numFmtId="0" fontId="20" fillId="0" borderId="32" xfId="47" applyFont="1" applyBorder="1" applyAlignment="1">
      <alignment horizontal="right"/>
    </xf>
    <xf numFmtId="5" fontId="97" fillId="0" borderId="32" xfId="47" applyNumberFormat="1" applyFont="1" applyBorder="1"/>
    <xf numFmtId="0" fontId="20" fillId="0" borderId="32" xfId="47" applyFont="1" applyBorder="1" applyAlignment="1">
      <alignment horizontal="left" indent="1"/>
    </xf>
    <xf numFmtId="164" fontId="20" fillId="0" borderId="47" xfId="47" applyNumberFormat="1" applyFont="1" applyBorder="1"/>
    <xf numFmtId="0" fontId="20" fillId="0" borderId="33" xfId="47" applyFont="1" applyBorder="1" applyAlignment="1">
      <alignment horizontal="right"/>
    </xf>
    <xf numFmtId="164" fontId="20" fillId="0" borderId="33" xfId="47" applyNumberFormat="1" applyFont="1" applyBorder="1"/>
    <xf numFmtId="0" fontId="20" fillId="0" borderId="33" xfId="47" applyFont="1" applyBorder="1" applyAlignment="1">
      <alignment horizontal="left" indent="1"/>
    </xf>
    <xf numFmtId="164" fontId="20" fillId="0" borderId="37" xfId="47" applyNumberFormat="1" applyFont="1" applyBorder="1"/>
    <xf numFmtId="5" fontId="97" fillId="0" borderId="15" xfId="47" applyNumberFormat="1" applyFont="1" applyBorder="1"/>
    <xf numFmtId="164" fontId="96" fillId="0" borderId="47" xfId="47" applyNumberFormat="1" applyFont="1" applyBorder="1"/>
    <xf numFmtId="164" fontId="97" fillId="0" borderId="0" xfId="47" applyNumberFormat="1" applyFont="1"/>
    <xf numFmtId="164" fontId="96" fillId="0" borderId="37" xfId="47" applyNumberFormat="1" applyFont="1" applyBorder="1"/>
    <xf numFmtId="5" fontId="97" fillId="91" borderId="0" xfId="47" applyNumberFormat="1" applyFont="1" applyFill="1"/>
    <xf numFmtId="5" fontId="20" fillId="91" borderId="0" xfId="4" applyNumberFormat="1" applyFont="1" applyFill="1"/>
    <xf numFmtId="37" fontId="97" fillId="0" borderId="0" xfId="31683" applyNumberFormat="1" applyFont="1" applyAlignment="1">
      <alignment horizontal="right"/>
    </xf>
    <xf numFmtId="0" fontId="97" fillId="0" borderId="0" xfId="31683" applyFont="1" applyAlignment="1">
      <alignment horizontal="right"/>
    </xf>
    <xf numFmtId="42" fontId="20" fillId="91" borderId="0" xfId="4" applyNumberFormat="1" applyFont="1" applyFill="1"/>
    <xf numFmtId="5" fontId="20" fillId="0" borderId="32" xfId="4" applyNumberFormat="1" applyFont="1" applyFill="1" applyBorder="1"/>
    <xf numFmtId="5" fontId="0" fillId="91" borderId="0" xfId="1" applyNumberFormat="1" applyFont="1" applyFill="1" applyAlignment="1">
      <alignment horizontal="right"/>
    </xf>
    <xf numFmtId="5" fontId="0" fillId="93" borderId="0" xfId="4" applyNumberFormat="1" applyFont="1" applyFill="1"/>
    <xf numFmtId="7" fontId="2" fillId="0" borderId="0" xfId="0" applyNumberFormat="1" applyFont="1" applyAlignment="1">
      <alignment horizontal="right"/>
    </xf>
    <xf numFmtId="10" fontId="2" fillId="0" borderId="32" xfId="0" applyNumberFormat="1" applyFont="1" applyBorder="1" applyAlignment="1">
      <alignment horizontal="right"/>
    </xf>
    <xf numFmtId="5" fontId="2" fillId="0" borderId="33" xfId="4" applyNumberFormat="1" applyFont="1" applyBorder="1"/>
    <xf numFmtId="5" fontId="20" fillId="0" borderId="42" xfId="6" applyNumberFormat="1" applyFont="1" applyBorder="1" applyAlignment="1">
      <alignment horizontal="right"/>
    </xf>
    <xf numFmtId="0" fontId="2" fillId="91" borderId="0" xfId="0" applyFont="1" applyFill="1" applyAlignment="1">
      <alignment horizontal="center"/>
    </xf>
    <xf numFmtId="0" fontId="97" fillId="91" borderId="8" xfId="0" applyFont="1" applyFill="1" applyBorder="1" applyAlignment="1">
      <alignment horizontal="center" wrapText="1"/>
    </xf>
    <xf numFmtId="0" fontId="2" fillId="91" borderId="0" xfId="0" applyFont="1" applyFill="1" applyAlignment="1">
      <alignment horizontal="center" vertical="center"/>
    </xf>
    <xf numFmtId="0" fontId="20" fillId="91" borderId="32" xfId="0" applyFont="1" applyFill="1" applyBorder="1"/>
    <xf numFmtId="10" fontId="0" fillId="91" borderId="0" xfId="0" applyNumberFormat="1" applyFill="1"/>
    <xf numFmtId="0" fontId="2" fillId="0" borderId="15" xfId="0" applyFont="1" applyBorder="1" applyAlignment="1">
      <alignment horizontal="center"/>
    </xf>
    <xf numFmtId="0" fontId="0" fillId="0" borderId="32" xfId="0" applyBorder="1" applyAlignment="1">
      <alignment horizontal="left"/>
    </xf>
    <xf numFmtId="5" fontId="0" fillId="0" borderId="32" xfId="8" applyNumberFormat="1" applyFont="1" applyBorder="1"/>
    <xf numFmtId="197" fontId="4" fillId="0" borderId="0" xfId="0" applyNumberFormat="1" applyFont="1" applyAlignment="1">
      <alignment horizontal="center"/>
    </xf>
    <xf numFmtId="0" fontId="2" fillId="0" borderId="0" xfId="0" applyFont="1" applyAlignment="1">
      <alignment horizontal="centerContinuous"/>
    </xf>
    <xf numFmtId="0" fontId="2" fillId="0" borderId="32" xfId="0" applyFont="1" applyBorder="1" applyAlignment="1">
      <alignment horizontal="centerContinuous"/>
    </xf>
    <xf numFmtId="37" fontId="0" fillId="0" borderId="32" xfId="0" applyNumberFormat="1" applyBorder="1" applyAlignment="1">
      <alignment horizontal="center"/>
    </xf>
    <xf numFmtId="39" fontId="0" fillId="0" borderId="32" xfId="8" applyNumberFormat="1" applyFont="1" applyFill="1" applyBorder="1"/>
    <xf numFmtId="0" fontId="2" fillId="0" borderId="0" xfId="0" applyFont="1" applyAlignment="1">
      <alignment horizontal="center" vertical="center"/>
    </xf>
    <xf numFmtId="0" fontId="0" fillId="91" borderId="0" xfId="47" applyFont="1" applyFill="1" applyAlignment="1">
      <alignment horizontal="left" indent="1"/>
    </xf>
    <xf numFmtId="0" fontId="2" fillId="0" borderId="0" xfId="0" applyFont="1" applyAlignment="1">
      <alignment wrapText="1"/>
    </xf>
    <xf numFmtId="0" fontId="20" fillId="91" borderId="0" xfId="47" applyFont="1" applyFill="1" applyAlignment="1">
      <alignment horizontal="right"/>
    </xf>
    <xf numFmtId="0" fontId="20" fillId="91" borderId="6" xfId="47" applyFont="1" applyFill="1" applyBorder="1"/>
    <xf numFmtId="0" fontId="0" fillId="94" borderId="0" xfId="0" applyFill="1"/>
    <xf numFmtId="5" fontId="0" fillId="93" borderId="32" xfId="4" applyNumberFormat="1" applyFont="1" applyFill="1" applyBorder="1"/>
    <xf numFmtId="0" fontId="97" fillId="0" borderId="46" xfId="47" applyFont="1" applyBorder="1" applyAlignment="1">
      <alignment horizontal="center"/>
    </xf>
    <xf numFmtId="167" fontId="97" fillId="0" borderId="46" xfId="47" applyNumberFormat="1" applyFont="1" applyBorder="1" applyAlignment="1">
      <alignment horizontal="center"/>
    </xf>
    <xf numFmtId="10" fontId="20" fillId="0" borderId="0" xfId="1" applyNumberFormat="1" applyFont="1" applyBorder="1"/>
    <xf numFmtId="0" fontId="20" fillId="0" borderId="0" xfId="6" applyFont="1" applyAlignment="1">
      <alignment horizontal="left" wrapText="1"/>
    </xf>
    <xf numFmtId="0" fontId="20" fillId="0" borderId="0" xfId="31683" applyFont="1"/>
    <xf numFmtId="0" fontId="5" fillId="0" borderId="0" xfId="31685" applyFont="1" applyAlignment="1">
      <alignment horizontal="right" vertical="top"/>
    </xf>
    <xf numFmtId="0" fontId="5" fillId="0" borderId="0" xfId="31685" applyFont="1"/>
    <xf numFmtId="0" fontId="20" fillId="0" borderId="0" xfId="31683" applyFont="1" applyAlignment="1">
      <alignment horizontal="center"/>
    </xf>
    <xf numFmtId="0" fontId="20" fillId="0" borderId="26" xfId="31683" applyFont="1" applyBorder="1"/>
    <xf numFmtId="14" fontId="20" fillId="0" borderId="26" xfId="31683" applyNumberFormat="1" applyFont="1" applyBorder="1" applyAlignment="1">
      <alignment horizontal="center"/>
    </xf>
    <xf numFmtId="37" fontId="97" fillId="0" borderId="0" xfId="31683" quotePrefix="1" applyNumberFormat="1" applyFont="1" applyAlignment="1">
      <alignment horizontal="center" wrapText="1"/>
    </xf>
    <xf numFmtId="0" fontId="1" fillId="0" borderId="0" xfId="31685"/>
    <xf numFmtId="0" fontId="5" fillId="0" borderId="32" xfId="31685" applyFont="1" applyBorder="1" applyAlignment="1">
      <alignment horizontal="center"/>
    </xf>
    <xf numFmtId="37" fontId="20" fillId="0" borderId="0" xfId="31683" applyNumberFormat="1" applyFont="1"/>
    <xf numFmtId="37" fontId="5" fillId="0" borderId="0" xfId="31685" applyNumberFormat="1" applyFont="1" applyAlignment="1">
      <alignment horizontal="center"/>
    </xf>
    <xf numFmtId="37" fontId="5" fillId="0" borderId="0" xfId="31685" applyNumberFormat="1" applyFont="1"/>
    <xf numFmtId="0" fontId="5" fillId="0" borderId="0" xfId="31685" applyFont="1" applyAlignment="1">
      <alignment horizontal="center"/>
    </xf>
    <xf numFmtId="0" fontId="5" fillId="0" borderId="32" xfId="31685" applyFont="1" applyBorder="1"/>
    <xf numFmtId="0" fontId="97" fillId="0" borderId="15" xfId="31683" applyFont="1" applyBorder="1" applyAlignment="1">
      <alignment horizontal="center"/>
    </xf>
    <xf numFmtId="0" fontId="6" fillId="0" borderId="0" xfId="31685" applyFont="1" applyAlignment="1">
      <alignment horizontal="center"/>
    </xf>
    <xf numFmtId="0" fontId="6" fillId="0" borderId="0" xfId="31685" applyFont="1" applyAlignment="1">
      <alignment horizontal="center" wrapText="1"/>
    </xf>
    <xf numFmtId="203" fontId="20" fillId="0" borderId="0" xfId="31683" applyNumberFormat="1" applyFont="1" applyAlignment="1">
      <alignment horizontal="center"/>
    </xf>
    <xf numFmtId="37" fontId="20" fillId="0" borderId="32" xfId="31683" applyNumberFormat="1" applyFont="1" applyBorder="1"/>
    <xf numFmtId="0" fontId="5" fillId="0" borderId="0" xfId="24911" applyFont="1"/>
    <xf numFmtId="37" fontId="20" fillId="93" borderId="0" xfId="31683" applyNumberFormat="1" applyFont="1" applyFill="1"/>
    <xf numFmtId="37" fontId="116" fillId="0" borderId="0" xfId="31683" quotePrefix="1" applyNumberFormat="1" applyFont="1" applyAlignment="1">
      <alignment horizontal="center"/>
    </xf>
    <xf numFmtId="0" fontId="20" fillId="0" borderId="0" xfId="31683" quotePrefix="1" applyFont="1" applyAlignment="1">
      <alignment horizontal="center"/>
    </xf>
    <xf numFmtId="0" fontId="98" fillId="0" borderId="0" xfId="31685" applyFont="1" applyAlignment="1">
      <alignment horizontal="center"/>
    </xf>
    <xf numFmtId="0" fontId="20" fillId="0" borderId="0" xfId="31685" applyFont="1"/>
    <xf numFmtId="0" fontId="20" fillId="0" borderId="32" xfId="31683" applyFont="1" applyBorder="1"/>
    <xf numFmtId="0" fontId="20" fillId="93" borderId="0" xfId="31683" applyFont="1" applyFill="1" applyAlignment="1">
      <alignment horizontal="left"/>
    </xf>
    <xf numFmtId="0" fontId="20" fillId="93" borderId="0" xfId="31683" applyFont="1" applyFill="1" applyAlignment="1">
      <alignment horizontal="center"/>
    </xf>
    <xf numFmtId="0" fontId="20" fillId="0" borderId="0" xfId="31683" applyFont="1" applyAlignment="1">
      <alignment horizontal="right"/>
    </xf>
    <xf numFmtId="0" fontId="5" fillId="0" borderId="0" xfId="31685" applyFont="1" applyAlignment="1">
      <alignment wrapText="1"/>
    </xf>
    <xf numFmtId="199" fontId="20" fillId="0" borderId="0" xfId="2" applyNumberFormat="1" applyFont="1" applyFill="1" applyBorder="1"/>
    <xf numFmtId="0" fontId="98" fillId="0" borderId="0" xfId="0" applyFont="1" applyAlignment="1">
      <alignment horizontal="right"/>
    </xf>
    <xf numFmtId="0" fontId="109" fillId="0" borderId="0" xfId="0" applyFont="1"/>
    <xf numFmtId="0" fontId="96" fillId="0" borderId="0" xfId="0" applyFont="1" applyAlignment="1">
      <alignment horizontal="center"/>
    </xf>
    <xf numFmtId="0" fontId="97" fillId="0" borderId="32" xfId="0" applyFont="1" applyBorder="1" applyAlignment="1">
      <alignment horizontal="right"/>
    </xf>
    <xf numFmtId="164" fontId="20" fillId="0" borderId="32" xfId="0" applyNumberFormat="1" applyFont="1" applyBorder="1"/>
    <xf numFmtId="3" fontId="20" fillId="0" borderId="32" xfId="0" applyNumberFormat="1" applyFont="1" applyBorder="1"/>
    <xf numFmtId="164" fontId="20" fillId="0" borderId="32" xfId="0" applyNumberFormat="1" applyFont="1" applyBorder="1" applyAlignment="1">
      <alignment horizontal="left"/>
    </xf>
    <xf numFmtId="202" fontId="97" fillId="0" borderId="32" xfId="0" applyNumberFormat="1" applyFont="1" applyBorder="1"/>
    <xf numFmtId="0" fontId="97" fillId="0" borderId="32" xfId="0" quotePrefix="1" applyFont="1" applyBorder="1" applyAlignment="1">
      <alignment horizontal="left"/>
    </xf>
    <xf numFmtId="202" fontId="20" fillId="0" borderId="32" xfId="0" applyNumberFormat="1" applyFont="1" applyBorder="1" applyAlignment="1">
      <alignment horizontal="center"/>
    </xf>
    <xf numFmtId="164" fontId="20" fillId="0" borderId="0" xfId="0" applyNumberFormat="1" applyFont="1" applyAlignment="1">
      <alignment horizontal="left"/>
    </xf>
    <xf numFmtId="202" fontId="97" fillId="0" borderId="0" xfId="0" applyNumberFormat="1" applyFont="1"/>
    <xf numFmtId="3" fontId="20" fillId="91" borderId="0" xfId="0" applyNumberFormat="1" applyFont="1" applyFill="1"/>
    <xf numFmtId="199" fontId="97" fillId="0" borderId="0" xfId="0" applyNumberFormat="1" applyFont="1"/>
    <xf numFmtId="202" fontId="20" fillId="0" borderId="0" xfId="0" applyNumberFormat="1" applyFont="1" applyAlignment="1">
      <alignment horizontal="center"/>
    </xf>
    <xf numFmtId="0" fontId="97" fillId="0" borderId="32" xfId="0" applyFont="1" applyBorder="1"/>
    <xf numFmtId="199" fontId="97" fillId="0" borderId="32" xfId="0" applyNumberFormat="1" applyFont="1" applyBorder="1"/>
    <xf numFmtId="0" fontId="20" fillId="0" borderId="32" xfId="0" applyFont="1" applyBorder="1" applyAlignment="1">
      <alignment horizontal="center"/>
    </xf>
    <xf numFmtId="164" fontId="103" fillId="0" borderId="0" xfId="0" applyNumberFormat="1" applyFont="1"/>
    <xf numFmtId="202" fontId="20" fillId="0" borderId="0" xfId="31682" applyNumberFormat="1" applyFont="1" applyAlignment="1">
      <alignment horizontal="center"/>
    </xf>
    <xf numFmtId="0" fontId="97" fillId="0" borderId="0" xfId="0" quotePrefix="1" applyFont="1" applyAlignment="1">
      <alignment horizontal="left"/>
    </xf>
    <xf numFmtId="0" fontId="20" fillId="0" borderId="0" xfId="31682" applyFont="1" applyAlignment="1">
      <alignment horizontal="center"/>
    </xf>
    <xf numFmtId="202" fontId="20" fillId="0" borderId="32" xfId="31682" applyNumberFormat="1" applyFont="1" applyBorder="1" applyAlignment="1">
      <alignment horizontal="center"/>
    </xf>
    <xf numFmtId="167" fontId="106" fillId="0" borderId="0" xfId="0" applyNumberFormat="1" applyFont="1"/>
    <xf numFmtId="167" fontId="103" fillId="0" borderId="0" xfId="0" applyNumberFormat="1" applyFont="1"/>
    <xf numFmtId="164" fontId="103" fillId="0" borderId="0" xfId="0" applyNumberFormat="1" applyFont="1" applyAlignment="1">
      <alignment horizontal="right"/>
    </xf>
    <xf numFmtId="202" fontId="20" fillId="0" borderId="0" xfId="0" applyNumberFormat="1" applyFont="1"/>
    <xf numFmtId="164" fontId="97" fillId="0" borderId="0" xfId="0" applyNumberFormat="1" applyFont="1"/>
    <xf numFmtId="164" fontId="107" fillId="0" borderId="0" xfId="0" applyNumberFormat="1" applyFont="1"/>
    <xf numFmtId="3" fontId="20" fillId="0" borderId="0" xfId="0" quotePrefix="1" applyNumberFormat="1" applyFont="1" applyAlignment="1">
      <alignment horizontal="center"/>
    </xf>
    <xf numFmtId="3" fontId="20" fillId="0" borderId="45" xfId="0" quotePrefix="1" applyNumberFormat="1" applyFont="1" applyBorder="1" applyAlignment="1">
      <alignment horizontal="center"/>
    </xf>
    <xf numFmtId="3" fontId="20" fillId="0" borderId="0" xfId="0" quotePrefix="1" applyNumberFormat="1" applyFont="1" applyAlignment="1">
      <alignment horizontal="center" vertical="center"/>
    </xf>
    <xf numFmtId="0" fontId="20" fillId="0" borderId="0" xfId="0" quotePrefix="1" applyFont="1" applyAlignment="1">
      <alignment horizontal="center" vertical="center" wrapText="1"/>
    </xf>
    <xf numFmtId="3" fontId="96" fillId="0" borderId="0" xfId="0" applyNumberFormat="1" applyFont="1" applyAlignment="1">
      <alignment horizontal="center"/>
    </xf>
    <xf numFmtId="203" fontId="96" fillId="0" borderId="0" xfId="0" applyNumberFormat="1" applyFont="1" applyAlignment="1">
      <alignment horizontal="center"/>
    </xf>
    <xf numFmtId="167" fontId="96" fillId="0" borderId="0" xfId="0" applyNumberFormat="1" applyFont="1" applyAlignment="1">
      <alignment horizontal="center"/>
    </xf>
    <xf numFmtId="203" fontId="20" fillId="91" borderId="0" xfId="0" applyNumberFormat="1" applyFont="1" applyFill="1" applyAlignment="1">
      <alignment horizontal="center"/>
    </xf>
    <xf numFmtId="3" fontId="20" fillId="0" borderId="0" xfId="0" applyNumberFormat="1" applyFont="1" applyAlignment="1">
      <alignment horizontal="right"/>
    </xf>
    <xf numFmtId="10" fontId="20" fillId="0" borderId="0" xfId="31682" applyNumberFormat="1" applyFont="1" applyAlignment="1">
      <alignment horizontal="center"/>
    </xf>
    <xf numFmtId="10" fontId="20" fillId="0" borderId="45" xfId="31682" applyNumberFormat="1" applyFont="1" applyBorder="1" applyAlignment="1">
      <alignment horizontal="center"/>
    </xf>
    <xf numFmtId="10" fontId="20" fillId="0" borderId="0" xfId="0" applyNumberFormat="1" applyFont="1" applyAlignment="1">
      <alignment horizontal="center"/>
    </xf>
    <xf numFmtId="10" fontId="97" fillId="0" borderId="0" xfId="0" applyNumberFormat="1" applyFont="1" applyAlignment="1">
      <alignment horizontal="center"/>
    </xf>
    <xf numFmtId="10" fontId="108" fillId="0" borderId="0" xfId="0" applyNumberFormat="1" applyFont="1" applyAlignment="1">
      <alignment horizontal="center"/>
    </xf>
    <xf numFmtId="10" fontId="108" fillId="0" borderId="45" xfId="31682" applyNumberFormat="1" applyFont="1" applyBorder="1" applyAlignment="1">
      <alignment horizontal="center"/>
    </xf>
    <xf numFmtId="10" fontId="97" fillId="0" borderId="0" xfId="1" applyNumberFormat="1" applyFont="1" applyFill="1" applyBorder="1" applyAlignment="1">
      <alignment horizontal="center"/>
    </xf>
    <xf numFmtId="10" fontId="20" fillId="91" borderId="45" xfId="31682" applyNumberFormat="1" applyFont="1" applyFill="1" applyBorder="1" applyAlignment="1">
      <alignment horizontal="center"/>
    </xf>
    <xf numFmtId="10" fontId="20" fillId="0" borderId="45" xfId="0" applyNumberFormat="1" applyFont="1" applyBorder="1" applyAlignment="1">
      <alignment horizontal="center"/>
    </xf>
    <xf numFmtId="10" fontId="108" fillId="0" borderId="45" xfId="0" applyNumberFormat="1" applyFont="1" applyBorder="1" applyAlignment="1">
      <alignment horizontal="center"/>
    </xf>
    <xf numFmtId="0" fontId="97" fillId="0" borderId="14" xfId="0" applyFont="1" applyBorder="1"/>
    <xf numFmtId="3" fontId="97" fillId="0" borderId="14" xfId="0" applyNumberFormat="1" applyFont="1" applyBorder="1"/>
    <xf numFmtId="5" fontId="97" fillId="0" borderId="48" xfId="0" applyNumberFormat="1" applyFont="1" applyBorder="1"/>
    <xf numFmtId="0" fontId="1" fillId="0" borderId="0" xfId="31685" applyAlignment="1">
      <alignment horizontal="left" vertical="top"/>
    </xf>
    <xf numFmtId="0" fontId="5" fillId="0" borderId="0" xfId="31685" applyFont="1" applyAlignment="1">
      <alignment horizontal="left" vertical="top"/>
    </xf>
    <xf numFmtId="205" fontId="0" fillId="0" borderId="0" xfId="0" applyNumberFormat="1"/>
    <xf numFmtId="206" fontId="0" fillId="0" borderId="0" xfId="0" applyNumberFormat="1"/>
    <xf numFmtId="43" fontId="20" fillId="91" borderId="0" xfId="47" applyNumberFormat="1" applyFont="1" applyFill="1"/>
    <xf numFmtId="0" fontId="20" fillId="91" borderId="0" xfId="0" applyFont="1" applyFill="1" applyAlignment="1">
      <alignment horizontal="right"/>
    </xf>
    <xf numFmtId="0" fontId="97" fillId="91" borderId="0" xfId="0" applyFont="1" applyFill="1" applyAlignment="1">
      <alignment horizontal="center"/>
    </xf>
    <xf numFmtId="166" fontId="0" fillId="93" borderId="32" xfId="4" applyNumberFormat="1" applyFont="1" applyFill="1" applyBorder="1"/>
    <xf numFmtId="166" fontId="0" fillId="93" borderId="0" xfId="4" applyNumberFormat="1" applyFont="1" applyFill="1"/>
    <xf numFmtId="37" fontId="20" fillId="91" borderId="0" xfId="9" applyNumberFormat="1" applyFont="1" applyFill="1" applyBorder="1"/>
    <xf numFmtId="37" fontId="20" fillId="91" borderId="0" xfId="6" applyNumberFormat="1" applyFont="1" applyFill="1"/>
    <xf numFmtId="37" fontId="0" fillId="91" borderId="0" xfId="47" applyNumberFormat="1" applyFont="1" applyFill="1"/>
    <xf numFmtId="37" fontId="0" fillId="91" borderId="0" xfId="0" applyNumberFormat="1" applyFill="1"/>
    <xf numFmtId="5" fontId="99" fillId="91" borderId="0" xfId="47" applyNumberFormat="1" applyFont="1" applyFill="1"/>
    <xf numFmtId="166" fontId="0" fillId="91" borderId="0" xfId="47" applyNumberFormat="1" applyFont="1" applyFill="1"/>
    <xf numFmtId="37" fontId="0" fillId="91" borderId="0" xfId="9" applyNumberFormat="1" applyFont="1" applyFill="1"/>
    <xf numFmtId="166" fontId="0" fillId="93" borderId="0" xfId="31683" applyNumberFormat="1" applyFont="1" applyFill="1"/>
    <xf numFmtId="195" fontId="2" fillId="0" borderId="0" xfId="0" applyNumberFormat="1" applyFont="1"/>
    <xf numFmtId="195" fontId="0" fillId="0" borderId="0" xfId="0" applyNumberFormat="1"/>
    <xf numFmtId="195" fontId="0" fillId="0" borderId="32" xfId="1" applyNumberFormat="1" applyFont="1" applyBorder="1"/>
    <xf numFmtId="195" fontId="0" fillId="0" borderId="0" xfId="1" applyNumberFormat="1" applyFont="1"/>
    <xf numFmtId="10" fontId="0" fillId="93" borderId="0" xfId="1" applyNumberFormat="1" applyFont="1" applyFill="1"/>
    <xf numFmtId="5" fontId="20" fillId="93" borderId="42" xfId="8174" applyNumberFormat="1" applyFont="1" applyFill="1" applyBorder="1"/>
    <xf numFmtId="5" fontId="20" fillId="93" borderId="32" xfId="6" applyNumberFormat="1" applyFont="1" applyFill="1" applyBorder="1" applyAlignment="1">
      <alignment horizontal="right"/>
    </xf>
    <xf numFmtId="167" fontId="97" fillId="0" borderId="45" xfId="31682" applyNumberFormat="1" applyFont="1" applyBorder="1" applyAlignment="1">
      <alignment horizontal="center"/>
    </xf>
    <xf numFmtId="0" fontId="97" fillId="94" borderId="0" xfId="47" applyFont="1" applyFill="1" applyAlignment="1">
      <alignment horizontal="center"/>
    </xf>
    <xf numFmtId="0" fontId="97" fillId="94" borderId="0" xfId="47" applyFont="1" applyFill="1"/>
    <xf numFmtId="5" fontId="2" fillId="94" borderId="0" xfId="4" applyNumberFormat="1" applyFont="1" applyFill="1"/>
    <xf numFmtId="5" fontId="20" fillId="94" borderId="0" xfId="4" applyNumberFormat="1" applyFont="1" applyFill="1"/>
    <xf numFmtId="5" fontId="0" fillId="94" borderId="0" xfId="4" applyNumberFormat="1" applyFont="1" applyFill="1"/>
    <xf numFmtId="5" fontId="0" fillId="94" borderId="0" xfId="0" applyNumberFormat="1" applyFill="1"/>
    <xf numFmtId="0" fontId="2" fillId="95" borderId="0" xfId="0" applyFont="1" applyFill="1" applyAlignment="1">
      <alignment horizontal="center"/>
    </xf>
    <xf numFmtId="0" fontId="0" fillId="95" borderId="0" xfId="0" applyFill="1"/>
    <xf numFmtId="0" fontId="0" fillId="95" borderId="0" xfId="0" applyFill="1" applyAlignment="1">
      <alignment horizontal="center"/>
    </xf>
    <xf numFmtId="5" fontId="0" fillId="95" borderId="0" xfId="4" applyNumberFormat="1" applyFont="1" applyFill="1"/>
    <xf numFmtId="10" fontId="0" fillId="95" borderId="0" xfId="1" applyNumberFormat="1" applyFont="1" applyFill="1"/>
    <xf numFmtId="5" fontId="0" fillId="95" borderId="0" xfId="0" applyNumberFormat="1" applyFill="1"/>
    <xf numFmtId="165" fontId="0" fillId="0" borderId="32" xfId="2" applyNumberFormat="1" applyFont="1" applyBorder="1"/>
    <xf numFmtId="164" fontId="20" fillId="0" borderId="0" xfId="47" applyNumberFormat="1" applyFont="1" applyAlignment="1">
      <alignment horizontal="center"/>
    </xf>
    <xf numFmtId="9" fontId="20" fillId="0" borderId="0" xfId="1" applyFont="1"/>
    <xf numFmtId="9" fontId="0" fillId="0" borderId="0" xfId="1" applyFont="1"/>
    <xf numFmtId="207" fontId="0" fillId="0" borderId="0" xfId="1" applyNumberFormat="1" applyFont="1"/>
    <xf numFmtId="0" fontId="0" fillId="0" borderId="0" xfId="0" applyAlignment="1">
      <alignment horizontal="centerContinuous"/>
    </xf>
    <xf numFmtId="5" fontId="20" fillId="94" borderId="0" xfId="47" applyNumberFormat="1" applyFont="1" applyFill="1"/>
    <xf numFmtId="5" fontId="97" fillId="94" borderId="0" xfId="47" applyNumberFormat="1" applyFont="1" applyFill="1"/>
    <xf numFmtId="5" fontId="97" fillId="94" borderId="15" xfId="47" applyNumberFormat="1" applyFont="1" applyFill="1" applyBorder="1"/>
    <xf numFmtId="5" fontId="97" fillId="94" borderId="0" xfId="47" applyNumberFormat="1" applyFont="1" applyFill="1" applyAlignment="1">
      <alignment horizontal="right"/>
    </xf>
    <xf numFmtId="166" fontId="0" fillId="0" borderId="32" xfId="0" applyNumberFormat="1" applyBorder="1"/>
    <xf numFmtId="0" fontId="94" fillId="0" borderId="0" xfId="0" applyFont="1" applyAlignment="1">
      <alignment horizontal="center"/>
    </xf>
    <xf numFmtId="0" fontId="95" fillId="0" borderId="0" xfId="0" applyFont="1" applyAlignment="1">
      <alignment horizontal="center"/>
    </xf>
    <xf numFmtId="0" fontId="2" fillId="0" borderId="0" xfId="0" applyFont="1" applyAlignment="1">
      <alignment horizontal="center"/>
    </xf>
    <xf numFmtId="0" fontId="0" fillId="0" borderId="37" xfId="0" applyBorder="1" applyAlignment="1">
      <alignment horizontal="left" wrapText="1"/>
    </xf>
    <xf numFmtId="0" fontId="0" fillId="0" borderId="47" xfId="0" applyBorder="1" applyAlignment="1">
      <alignment horizontal="left" wrapText="1"/>
    </xf>
    <xf numFmtId="0" fontId="0" fillId="0" borderId="0" xfId="0" applyAlignment="1">
      <alignment horizontal="left" wrapText="1"/>
    </xf>
    <xf numFmtId="0" fontId="0" fillId="0" borderId="0" xfId="0" applyAlignment="1">
      <alignment horizontal="left"/>
    </xf>
    <xf numFmtId="5" fontId="0" fillId="0" borderId="0" xfId="4" applyNumberFormat="1" applyFont="1" applyAlignment="1">
      <alignment horizontal="left"/>
    </xf>
    <xf numFmtId="0" fontId="0" fillId="0" borderId="0" xfId="0" applyAlignment="1">
      <alignment horizontal="left" vertical="top" wrapText="1"/>
    </xf>
    <xf numFmtId="0" fontId="0" fillId="0" borderId="0" xfId="0" applyAlignment="1">
      <alignment horizontal="center" wrapText="1"/>
    </xf>
    <xf numFmtId="0" fontId="2"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horizontal="left"/>
    </xf>
    <xf numFmtId="0" fontId="20" fillId="0" borderId="0" xfId="47" applyFont="1" applyAlignment="1">
      <alignment horizontal="left"/>
    </xf>
    <xf numFmtId="0" fontId="20" fillId="91" borderId="0" xfId="0" applyFont="1" applyFill="1" applyAlignment="1">
      <alignment horizontal="left"/>
    </xf>
    <xf numFmtId="0" fontId="97" fillId="0" borderId="0" xfId="6" applyFont="1" applyAlignment="1">
      <alignment horizontal="center"/>
    </xf>
    <xf numFmtId="0" fontId="97" fillId="37" borderId="49" xfId="0" applyFont="1" applyFill="1" applyBorder="1" applyAlignment="1">
      <alignment horizontal="center"/>
    </xf>
    <xf numFmtId="0" fontId="97" fillId="37" borderId="15" xfId="0" applyFont="1" applyFill="1" applyBorder="1" applyAlignment="1">
      <alignment horizontal="center"/>
    </xf>
    <xf numFmtId="0" fontId="97" fillId="37" borderId="50" xfId="0" applyFont="1" applyFill="1" applyBorder="1" applyAlignment="1">
      <alignment horizontal="center"/>
    </xf>
    <xf numFmtId="0" fontId="97" fillId="0" borderId="32" xfId="0" applyFont="1" applyBorder="1" applyAlignment="1">
      <alignment horizontal="center"/>
    </xf>
    <xf numFmtId="0" fontId="2" fillId="0" borderId="32" xfId="0" applyFont="1" applyBorder="1" applyAlignment="1">
      <alignment horizontal="center"/>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32" xfId="0" applyFont="1" applyBorder="1" applyAlignment="1">
      <alignment horizontal="center" vertical="center" wrapText="1"/>
    </xf>
    <xf numFmtId="0" fontId="20" fillId="0" borderId="0" xfId="0" applyFont="1" applyAlignment="1">
      <alignment wrapText="1"/>
    </xf>
    <xf numFmtId="0" fontId="20" fillId="0" borderId="0" xfId="0" applyFont="1" applyAlignment="1">
      <alignment horizontal="left" vertical="center" wrapText="1"/>
    </xf>
    <xf numFmtId="0" fontId="100" fillId="0" borderId="0" xfId="0" applyFont="1" applyAlignment="1">
      <alignment wrapText="1"/>
    </xf>
    <xf numFmtId="0" fontId="0" fillId="0" borderId="0" xfId="0" applyAlignment="1">
      <alignment wrapText="1"/>
    </xf>
    <xf numFmtId="0" fontId="5" fillId="0" borderId="0" xfId="31685" applyFont="1" applyAlignment="1">
      <alignment horizontal="left" wrapText="1"/>
    </xf>
    <xf numFmtId="0" fontId="1" fillId="0" borderId="0" xfId="31685" applyAlignment="1">
      <alignment horizontal="left" wrapText="1"/>
    </xf>
    <xf numFmtId="0" fontId="1" fillId="0" borderId="32" xfId="24911" applyBorder="1" applyAlignment="1">
      <alignment horizontal="center"/>
    </xf>
    <xf numFmtId="37" fontId="97" fillId="0" borderId="15" xfId="31683" applyNumberFormat="1" applyFont="1" applyBorder="1" applyAlignment="1">
      <alignment horizontal="center"/>
    </xf>
    <xf numFmtId="0" fontId="111" fillId="0" borderId="15" xfId="0" applyFont="1" applyBorder="1" applyAlignment="1">
      <alignment horizontal="center" vertical="center" wrapText="1"/>
    </xf>
    <xf numFmtId="0" fontId="5" fillId="0" borderId="32" xfId="31685" applyFont="1" applyBorder="1" applyAlignment="1">
      <alignment horizontal="center"/>
    </xf>
    <xf numFmtId="0" fontId="117" fillId="0" borderId="15" xfId="0" applyFont="1" applyBorder="1" applyAlignment="1">
      <alignment horizontal="center" vertical="center" wrapText="1"/>
    </xf>
    <xf numFmtId="0" fontId="5" fillId="0" borderId="0" xfId="31685" applyFont="1" applyAlignment="1">
      <alignment horizontal="left"/>
    </xf>
    <xf numFmtId="0" fontId="2" fillId="0" borderId="49" xfId="0" applyFont="1" applyBorder="1" applyAlignment="1">
      <alignment horizontal="center"/>
    </xf>
    <xf numFmtId="0" fontId="2" fillId="0" borderId="15" xfId="0" applyFont="1" applyBorder="1" applyAlignment="1">
      <alignment horizontal="center"/>
    </xf>
    <xf numFmtId="0" fontId="2" fillId="0" borderId="50" xfId="0" applyFont="1" applyBorder="1" applyAlignment="1">
      <alignment horizontal="center"/>
    </xf>
    <xf numFmtId="0" fontId="2" fillId="0" borderId="8" xfId="0" applyFont="1" applyBorder="1" applyAlignment="1">
      <alignment horizontal="center"/>
    </xf>
    <xf numFmtId="0" fontId="0" fillId="91" borderId="0" xfId="0" applyFill="1" applyAlignment="1">
      <alignment horizontal="left" wrapText="1"/>
    </xf>
    <xf numFmtId="0" fontId="2" fillId="0" borderId="42" xfId="0" applyFont="1" applyBorder="1" applyAlignment="1">
      <alignment horizontal="right"/>
    </xf>
    <xf numFmtId="0" fontId="2" fillId="0" borderId="39" xfId="0" applyFont="1" applyBorder="1" applyAlignment="1">
      <alignment horizontal="center" wrapText="1"/>
    </xf>
    <xf numFmtId="0" fontId="2" fillId="0" borderId="41" xfId="0" applyFont="1" applyBorder="1" applyAlignment="1">
      <alignment horizontal="center" wrapText="1"/>
    </xf>
    <xf numFmtId="0" fontId="2" fillId="0" borderId="8" xfId="0" applyFont="1" applyBorder="1" applyAlignment="1">
      <alignment horizontal="center" wrapText="1"/>
    </xf>
    <xf numFmtId="0" fontId="20" fillId="0" borderId="6" xfId="47" applyFont="1" applyBorder="1" applyAlignment="1">
      <alignment horizontal="right" wrapText="1"/>
    </xf>
    <xf numFmtId="0" fontId="20" fillId="0" borderId="0" xfId="47" applyFont="1" applyAlignment="1">
      <alignment horizontal="right" wrapText="1"/>
    </xf>
    <xf numFmtId="0" fontId="20" fillId="91" borderId="0" xfId="0" applyFont="1" applyFill="1" applyAlignment="1">
      <alignment horizontal="left" vertical="top" wrapText="1"/>
    </xf>
    <xf numFmtId="3" fontId="20" fillId="0" borderId="0" xfId="0" applyNumberFormat="1" applyFont="1" applyAlignment="1">
      <alignment horizontal="center"/>
    </xf>
    <xf numFmtId="167" fontId="97" fillId="0" borderId="38" xfId="0" quotePrefix="1" applyNumberFormat="1" applyFont="1" applyBorder="1" applyAlignment="1">
      <alignment horizontal="right"/>
    </xf>
    <xf numFmtId="167" fontId="97" fillId="0" borderId="14" xfId="0" quotePrefix="1" applyNumberFormat="1" applyFont="1" applyBorder="1" applyAlignment="1">
      <alignment horizontal="right"/>
    </xf>
  </cellXfs>
  <cellStyles count="31874">
    <cellStyle name="_x000a__x000a_JournalTemplate=C:\COMFO\CTALK\JOURSTD.TPL_x000a__x000a_LbStateAddress=3 3 0 251 1 89 2 311_x000a__x000a_LbStateJou" xfId="79" xr:uid="{00000000-0005-0000-0000-00004F000000}"/>
    <cellStyle name="_x000a__x000a_JournalTemplate=C:\COMFO\CTALK\JOURSTD.TPL_x000a__x000a_LbStateAddress=3 3 0 251 1 89 2 311_x000a__x000a_LbStateJou 2" xfId="80" xr:uid="{00000000-0005-0000-0000-000050000000}"/>
    <cellStyle name="_x000a__x000a_JournalTemplate=C:\COMFO\CTALK\JOURSTD.TPL_x000a__x000a_LbStateAddress=3 3 0 251 1 89 2 311_x000a__x000a_LbStateJou 2 2" xfId="81" xr:uid="{00000000-0005-0000-0000-000051000000}"/>
    <cellStyle name="_x000a__x000a_JournalTemplate=C:\COMFO\CTALK\JOURSTD.TPL_x000a__x000a_LbStateAddress=3 3 0 251 1 89 2 311_x000a__x000a_LbStateJou 3" xfId="82" xr:uid="{00000000-0005-0000-0000-000052000000}"/>
    <cellStyle name="_x000a__x000a_JournalTemplate=C:\COMFO\CTALK\JOURSTD.TPL_x000a__x000a_LbStateAddress=3 3 0 251 1 89 2 311_x000a__x000a_LbStateJou 3 2" xfId="83" xr:uid="{00000000-0005-0000-0000-000053000000}"/>
    <cellStyle name="_x000a__x000a_JournalTemplate=C:\COMFO\CTALK\JOURSTD.TPL_x000a__x000a_LbStateAddress=3 3 0 251 1 89 2 311_x000a__x000a_LbStateJou 3 2 2" xfId="84" xr:uid="{00000000-0005-0000-0000-000054000000}"/>
    <cellStyle name="_x000a__x000a_JournalTemplate=C:\COMFO\CTALK\JOURSTD.TPL_x000a__x000a_LbStateAddress=3 3 0 251 1 89 2 311_x000a__x000a_LbStateJou 3 3" xfId="85" xr:uid="{00000000-0005-0000-0000-000055000000}"/>
    <cellStyle name="_x000a__x000a_JournalTemplate=C:\COMFO\CTALK\JOURSTD.TPL_x000a__x000a_LbStateAddress=3 3 0 251 1 89 2 311_x000a__x000a_LbStateJou 4" xfId="86" xr:uid="{00000000-0005-0000-0000-000056000000}"/>
    <cellStyle name="_x000d__x000a_JournalTemplate=C:\COMFO\CTALK\JOURSTD.TPL_x000d__x000a_LbStateAddress=3 3 0 251 1 89 2 311_x000d__x000a_LbStateJou" xfId="87" xr:uid="{00000000-0005-0000-0000-000057000000}"/>
    <cellStyle name="_x000d__x000a_JournalTemplate=C:\COMFO\CTALK\JOURSTD.TPL_x000d__x000a_LbStateAddress=3 3 0 251 1 89 2 311_x000d__x000a_LbStateJou 2" xfId="88" xr:uid="{00000000-0005-0000-0000-000058000000}"/>
    <cellStyle name="_x000d__x000a_JournalTemplate=C:\COMFO\CTALK\JOURSTD.TPL_x000d__x000a_LbStateAddress=3 3 0 251 1 89 2 311_x000d__x000a_LbStateJou 2 2" xfId="89" xr:uid="{00000000-0005-0000-0000-000059000000}"/>
    <cellStyle name="_x000d__x000a_JournalTemplate=C:\COMFO\CTALK\JOURSTD.TPL_x000d__x000a_LbStateAddress=3 3 0 251 1 89 2 311_x000d__x000a_LbStateJou 3" xfId="90" xr:uid="{00000000-0005-0000-0000-00005A000000}"/>
    <cellStyle name="_x000d__x000a_JournalTemplate=C:\COMFO\CTALK\JOURSTD.TPL_x000d__x000a_LbStateAddress=3 3 0 251 1 89 2 311_x000d__x000a_LbStateJou 3 2" xfId="91" xr:uid="{00000000-0005-0000-0000-00005B000000}"/>
    <cellStyle name="_x000d__x000a_JournalTemplate=C:\COMFO\CTALK\JOURSTD.TPL_x000d__x000a_LbStateAddress=3 3 0 251 1 89 2 311_x000d__x000a_LbStateJou 3 2 2" xfId="92" xr:uid="{00000000-0005-0000-0000-00005C000000}"/>
    <cellStyle name="_x000d__x000a_JournalTemplate=C:\COMFO\CTALK\JOURSTD.TPL_x000d__x000a_LbStateAddress=3 3 0 251 1 89 2 311_x000d__x000a_LbStateJou 3 3" xfId="93" xr:uid="{00000000-0005-0000-0000-00005D000000}"/>
    <cellStyle name="_x000d__x000a_JournalTemplate=C:\COMFO\CTALK\JOURSTD.TPL_x000d__x000a_LbStateAddress=3 3 0 251 1 89 2 311_x000d__x000a_LbStateJou 4" xfId="94" xr:uid="{00000000-0005-0000-0000-00005E000000}"/>
    <cellStyle name="*MB Hardwired" xfId="95" xr:uid="{00000000-0005-0000-0000-00005F000000}"/>
    <cellStyle name="*MB Hardwired 2" xfId="96" xr:uid="{00000000-0005-0000-0000-000060000000}"/>
    <cellStyle name="*MB Input Table Calc" xfId="97" xr:uid="{00000000-0005-0000-0000-000061000000}"/>
    <cellStyle name="*MB Input Table Calc 2" xfId="98" xr:uid="{00000000-0005-0000-0000-000062000000}"/>
    <cellStyle name="*MB Normal" xfId="99" xr:uid="{00000000-0005-0000-0000-000063000000}"/>
    <cellStyle name="*MB Normal 2" xfId="100" xr:uid="{00000000-0005-0000-0000-000064000000}"/>
    <cellStyle name="*MB Normal 2 2" xfId="101" xr:uid="{00000000-0005-0000-0000-000065000000}"/>
    <cellStyle name="*MB Normal 3" xfId="102" xr:uid="{00000000-0005-0000-0000-000066000000}"/>
    <cellStyle name="*MB Placeholder" xfId="103" xr:uid="{00000000-0005-0000-0000-000067000000}"/>
    <cellStyle name="*MB Placeholder 2" xfId="104" xr:uid="{00000000-0005-0000-0000-000068000000}"/>
    <cellStyle name=":¨áy¡’?(" xfId="105" xr:uid="{00000000-0005-0000-0000-000069000000}"/>
    <cellStyle name=":¨áy¡’?( 2" xfId="106" xr:uid="{00000000-0005-0000-0000-00006A000000}"/>
    <cellStyle name=":¨áy¡’?( 3" xfId="107" xr:uid="{00000000-0005-0000-0000-00006B000000}"/>
    <cellStyle name=":¨áy¡’?( 3 2" xfId="108" xr:uid="{00000000-0005-0000-0000-00006C000000}"/>
    <cellStyle name=":¨áy¡’?( 4" xfId="109" xr:uid="{00000000-0005-0000-0000-00006D000000}"/>
    <cellStyle name=":¨áy¡’?( 5" xfId="110" xr:uid="{00000000-0005-0000-0000-00006E000000}"/>
    <cellStyle name="?? [0]_??" xfId="111" xr:uid="{00000000-0005-0000-0000-00006F000000}"/>
    <cellStyle name="???" xfId="112" xr:uid="{00000000-0005-0000-0000-000070000000}"/>
    <cellStyle name="??? 2" xfId="113" xr:uid="{00000000-0005-0000-0000-000071000000}"/>
    <cellStyle name="??_?.????" xfId="114" xr:uid="{00000000-0005-0000-0000-000072000000}"/>
    <cellStyle name="_Base Case (Rev 3)" xfId="115" xr:uid="{00000000-0005-0000-0000-000073000000}"/>
    <cellStyle name="_Base Case (Rev 3) 2" xfId="116" xr:uid="{00000000-0005-0000-0000-000074000000}"/>
    <cellStyle name="_Base Case (Rev 3) 2 2" xfId="117" xr:uid="{00000000-0005-0000-0000-000075000000}"/>
    <cellStyle name="_Base Case (Rev 3) 2 2 2" xfId="118" xr:uid="{00000000-0005-0000-0000-000076000000}"/>
    <cellStyle name="_Base Case (Rev 3) 2 3" xfId="119" xr:uid="{00000000-0005-0000-0000-000077000000}"/>
    <cellStyle name="_Base Case (Rev 3) 3" xfId="120" xr:uid="{00000000-0005-0000-0000-000078000000}"/>
    <cellStyle name="_Base Case (Rev 3) 3 2" xfId="121" xr:uid="{00000000-0005-0000-0000-000079000000}"/>
    <cellStyle name="_Base Case (Rev 3) 4" xfId="122" xr:uid="{00000000-0005-0000-0000-00007A000000}"/>
    <cellStyle name="20% - Accent1 2" xfId="123" xr:uid="{00000000-0005-0000-0000-00007B000000}"/>
    <cellStyle name="20% - Accent1 2 10" xfId="124" xr:uid="{00000000-0005-0000-0000-00007C000000}"/>
    <cellStyle name="20% - Accent1 2 10 2" xfId="125" xr:uid="{00000000-0005-0000-0000-00007D000000}"/>
    <cellStyle name="20% - Accent1 2 10 2 2" xfId="31691" xr:uid="{00000000-0005-0000-0000-0000CB7B0000}"/>
    <cellStyle name="20% - Accent1 2 10 3" xfId="31690" xr:uid="{00000000-0005-0000-0000-0000CA7B0000}"/>
    <cellStyle name="20% - Accent1 2 11" xfId="126" xr:uid="{00000000-0005-0000-0000-00007E000000}"/>
    <cellStyle name="20% - Accent1 2 11 2" xfId="31692" xr:uid="{00000000-0005-0000-0000-0000CC7B0000}"/>
    <cellStyle name="20% - Accent1 2 12" xfId="31689" xr:uid="{00000000-0005-0000-0000-0000C97B0000}"/>
    <cellStyle name="20% - Accent1 2 2" xfId="127" xr:uid="{00000000-0005-0000-0000-00007F000000}"/>
    <cellStyle name="20% - Accent1 2 2 2" xfId="128" xr:uid="{00000000-0005-0000-0000-000080000000}"/>
    <cellStyle name="20% - Accent1 2 2 2 2" xfId="129" xr:uid="{00000000-0005-0000-0000-000081000000}"/>
    <cellStyle name="20% - Accent1 2 2 2 2 2" xfId="130" xr:uid="{00000000-0005-0000-0000-000082000000}"/>
    <cellStyle name="20% - Accent1 2 2 2 3" xfId="131" xr:uid="{00000000-0005-0000-0000-000083000000}"/>
    <cellStyle name="20% - Accent1 2 2 2 3 2" xfId="132" xr:uid="{00000000-0005-0000-0000-000084000000}"/>
    <cellStyle name="20% - Accent1 2 2 2 3 2 2" xfId="133" xr:uid="{00000000-0005-0000-0000-000085000000}"/>
    <cellStyle name="20% - Accent1 2 2 2 3 3" xfId="134" xr:uid="{00000000-0005-0000-0000-000086000000}"/>
    <cellStyle name="20% - Accent1 2 2 2 4" xfId="135" xr:uid="{00000000-0005-0000-0000-000087000000}"/>
    <cellStyle name="20% - Accent1 2 2 3" xfId="136" xr:uid="{00000000-0005-0000-0000-000088000000}"/>
    <cellStyle name="20% - Accent1 2 2 3 2" xfId="137" xr:uid="{00000000-0005-0000-0000-000089000000}"/>
    <cellStyle name="20% - Accent1 2 2 3 2 2" xfId="138" xr:uid="{00000000-0005-0000-0000-00008A000000}"/>
    <cellStyle name="20% - Accent1 2 2 3 2 2 2" xfId="31696" xr:uid="{00000000-0005-0000-0000-0000D07B0000}"/>
    <cellStyle name="20% - Accent1 2 2 3 2 3" xfId="31695" xr:uid="{00000000-0005-0000-0000-0000CF7B0000}"/>
    <cellStyle name="20% - Accent1 2 2 3 3" xfId="139" xr:uid="{00000000-0005-0000-0000-00008B000000}"/>
    <cellStyle name="20% - Accent1 2 2 3 3 2" xfId="31697" xr:uid="{00000000-0005-0000-0000-0000D17B0000}"/>
    <cellStyle name="20% - Accent1 2 2 3 4" xfId="31694" xr:uid="{00000000-0005-0000-0000-0000CE7B0000}"/>
    <cellStyle name="20% - Accent1 2 2 4" xfId="140" xr:uid="{00000000-0005-0000-0000-00008C000000}"/>
    <cellStyle name="20% - Accent1 2 2 4 2" xfId="141" xr:uid="{00000000-0005-0000-0000-00008D000000}"/>
    <cellStyle name="20% - Accent1 2 2 4 2 2" xfId="142" xr:uid="{00000000-0005-0000-0000-00008E000000}"/>
    <cellStyle name="20% - Accent1 2 2 4 2 2 2" xfId="143" xr:uid="{00000000-0005-0000-0000-00008F000000}"/>
    <cellStyle name="20% - Accent1 2 2 4 2 2 2 2" xfId="31701" xr:uid="{00000000-0005-0000-0000-0000D57B0000}"/>
    <cellStyle name="20% - Accent1 2 2 4 2 2 3" xfId="31700" xr:uid="{00000000-0005-0000-0000-0000D47B0000}"/>
    <cellStyle name="20% - Accent1 2 2 4 2 3" xfId="144" xr:uid="{00000000-0005-0000-0000-000090000000}"/>
    <cellStyle name="20% - Accent1 2 2 4 2 3 2" xfId="31702" xr:uid="{00000000-0005-0000-0000-0000D67B0000}"/>
    <cellStyle name="20% - Accent1 2 2 4 2 4" xfId="31699" xr:uid="{00000000-0005-0000-0000-0000D37B0000}"/>
    <cellStyle name="20% - Accent1 2 2 4 3" xfId="145" xr:uid="{00000000-0005-0000-0000-000091000000}"/>
    <cellStyle name="20% - Accent1 2 2 4 3 2" xfId="146" xr:uid="{00000000-0005-0000-0000-000092000000}"/>
    <cellStyle name="20% - Accent1 2 2 4 3 2 2" xfId="31704" xr:uid="{00000000-0005-0000-0000-0000D87B0000}"/>
    <cellStyle name="20% - Accent1 2 2 4 3 3" xfId="31703" xr:uid="{00000000-0005-0000-0000-0000D77B0000}"/>
    <cellStyle name="20% - Accent1 2 2 4 4" xfId="147" xr:uid="{00000000-0005-0000-0000-000093000000}"/>
    <cellStyle name="20% - Accent1 2 2 4 4 2" xfId="31705" xr:uid="{00000000-0005-0000-0000-0000D97B0000}"/>
    <cellStyle name="20% - Accent1 2 2 4 5" xfId="31698" xr:uid="{00000000-0005-0000-0000-0000D27B0000}"/>
    <cellStyle name="20% - Accent1 2 2 5" xfId="148" xr:uid="{00000000-0005-0000-0000-000094000000}"/>
    <cellStyle name="20% - Accent1 2 2 5 2" xfId="149" xr:uid="{00000000-0005-0000-0000-000095000000}"/>
    <cellStyle name="20% - Accent1 2 2 5 2 2" xfId="31707" xr:uid="{00000000-0005-0000-0000-0000DB7B0000}"/>
    <cellStyle name="20% - Accent1 2 2 5 3" xfId="31706" xr:uid="{00000000-0005-0000-0000-0000DA7B0000}"/>
    <cellStyle name="20% - Accent1 2 2 6" xfId="150" xr:uid="{00000000-0005-0000-0000-000096000000}"/>
    <cellStyle name="20% - Accent1 2 2 6 2" xfId="31708" xr:uid="{00000000-0005-0000-0000-0000DC7B0000}"/>
    <cellStyle name="20% - Accent1 2 2 7" xfId="31693" xr:uid="{00000000-0005-0000-0000-0000CD7B0000}"/>
    <cellStyle name="20% - Accent1 2 3" xfId="151" xr:uid="{00000000-0005-0000-0000-000097000000}"/>
    <cellStyle name="20% - Accent1 2 3 2" xfId="152" xr:uid="{00000000-0005-0000-0000-000098000000}"/>
    <cellStyle name="20% - Accent1 2 3 2 2" xfId="153" xr:uid="{00000000-0005-0000-0000-000099000000}"/>
    <cellStyle name="20% - Accent1 2 3 2 2 2" xfId="154" xr:uid="{00000000-0005-0000-0000-00009A000000}"/>
    <cellStyle name="20% - Accent1 2 3 2 2 2 2" xfId="31712" xr:uid="{00000000-0005-0000-0000-0000E07B0000}"/>
    <cellStyle name="20% - Accent1 2 3 2 2 3" xfId="31711" xr:uid="{00000000-0005-0000-0000-0000DF7B0000}"/>
    <cellStyle name="20% - Accent1 2 3 2 3" xfId="155" xr:uid="{00000000-0005-0000-0000-00009B000000}"/>
    <cellStyle name="20% - Accent1 2 3 2 3 2" xfId="31713" xr:uid="{00000000-0005-0000-0000-0000E17B0000}"/>
    <cellStyle name="20% - Accent1 2 3 2 4" xfId="31710" xr:uid="{00000000-0005-0000-0000-0000DE7B0000}"/>
    <cellStyle name="20% - Accent1 2 3 3" xfId="156" xr:uid="{00000000-0005-0000-0000-00009C000000}"/>
    <cellStyle name="20% - Accent1 2 3 3 2" xfId="157" xr:uid="{00000000-0005-0000-0000-00009D000000}"/>
    <cellStyle name="20% - Accent1 2 3 3 2 2" xfId="158" xr:uid="{00000000-0005-0000-0000-00009E000000}"/>
    <cellStyle name="20% - Accent1 2 3 3 2 2 2" xfId="159" xr:uid="{00000000-0005-0000-0000-00009F000000}"/>
    <cellStyle name="20% - Accent1 2 3 3 2 2 2 2" xfId="31717" xr:uid="{00000000-0005-0000-0000-0000E57B0000}"/>
    <cellStyle name="20% - Accent1 2 3 3 2 2 3" xfId="31716" xr:uid="{00000000-0005-0000-0000-0000E47B0000}"/>
    <cellStyle name="20% - Accent1 2 3 3 2 3" xfId="160" xr:uid="{00000000-0005-0000-0000-0000A0000000}"/>
    <cellStyle name="20% - Accent1 2 3 3 2 3 2" xfId="31718" xr:uid="{00000000-0005-0000-0000-0000E67B0000}"/>
    <cellStyle name="20% - Accent1 2 3 3 2 4" xfId="31715" xr:uid="{00000000-0005-0000-0000-0000E37B0000}"/>
    <cellStyle name="20% - Accent1 2 3 3 3" xfId="161" xr:uid="{00000000-0005-0000-0000-0000A1000000}"/>
    <cellStyle name="20% - Accent1 2 3 3 3 2" xfId="162" xr:uid="{00000000-0005-0000-0000-0000A2000000}"/>
    <cellStyle name="20% - Accent1 2 3 3 3 2 2" xfId="31720" xr:uid="{00000000-0005-0000-0000-0000E87B0000}"/>
    <cellStyle name="20% - Accent1 2 3 3 3 3" xfId="31719" xr:uid="{00000000-0005-0000-0000-0000E77B0000}"/>
    <cellStyle name="20% - Accent1 2 3 3 4" xfId="163" xr:uid="{00000000-0005-0000-0000-0000A3000000}"/>
    <cellStyle name="20% - Accent1 2 3 3 4 2" xfId="31721" xr:uid="{00000000-0005-0000-0000-0000E97B0000}"/>
    <cellStyle name="20% - Accent1 2 3 3 5" xfId="31714" xr:uid="{00000000-0005-0000-0000-0000E27B0000}"/>
    <cellStyle name="20% - Accent1 2 3 4" xfId="164" xr:uid="{00000000-0005-0000-0000-0000A4000000}"/>
    <cellStyle name="20% - Accent1 2 3 4 2" xfId="165" xr:uid="{00000000-0005-0000-0000-0000A5000000}"/>
    <cellStyle name="20% - Accent1 2 3 4 2 2" xfId="31723" xr:uid="{00000000-0005-0000-0000-0000EB7B0000}"/>
    <cellStyle name="20% - Accent1 2 3 4 3" xfId="31722" xr:uid="{00000000-0005-0000-0000-0000EA7B0000}"/>
    <cellStyle name="20% - Accent1 2 3 5" xfId="166" xr:uid="{00000000-0005-0000-0000-0000A6000000}"/>
    <cellStyle name="20% - Accent1 2 3 5 2" xfId="31724" xr:uid="{00000000-0005-0000-0000-0000EC7B0000}"/>
    <cellStyle name="20% - Accent1 2 3 6" xfId="31709" xr:uid="{00000000-0005-0000-0000-0000DD7B0000}"/>
    <cellStyle name="20% - Accent1 2 4" xfId="167" xr:uid="{00000000-0005-0000-0000-0000A7000000}"/>
    <cellStyle name="20% - Accent1 2 4 2" xfId="168" xr:uid="{00000000-0005-0000-0000-0000A8000000}"/>
    <cellStyle name="20% - Accent1 2 4 2 2" xfId="169" xr:uid="{00000000-0005-0000-0000-0000A9000000}"/>
    <cellStyle name="20% - Accent1 2 4 2 2 2" xfId="170" xr:uid="{00000000-0005-0000-0000-0000AA000000}"/>
    <cellStyle name="20% - Accent1 2 4 2 2 2 2" xfId="31728" xr:uid="{00000000-0005-0000-0000-0000F07B0000}"/>
    <cellStyle name="20% - Accent1 2 4 2 2 3" xfId="31727" xr:uid="{00000000-0005-0000-0000-0000EF7B0000}"/>
    <cellStyle name="20% - Accent1 2 4 2 3" xfId="171" xr:uid="{00000000-0005-0000-0000-0000AB000000}"/>
    <cellStyle name="20% - Accent1 2 4 2 3 2" xfId="31729" xr:uid="{00000000-0005-0000-0000-0000F17B0000}"/>
    <cellStyle name="20% - Accent1 2 4 2 4" xfId="31726" xr:uid="{00000000-0005-0000-0000-0000EE7B0000}"/>
    <cellStyle name="20% - Accent1 2 4 3" xfId="172" xr:uid="{00000000-0005-0000-0000-0000AC000000}"/>
    <cellStyle name="20% - Accent1 2 4 3 2" xfId="173" xr:uid="{00000000-0005-0000-0000-0000AD000000}"/>
    <cellStyle name="20% - Accent1 2 4 3 2 2" xfId="31731" xr:uid="{00000000-0005-0000-0000-0000F37B0000}"/>
    <cellStyle name="20% - Accent1 2 4 3 3" xfId="31730" xr:uid="{00000000-0005-0000-0000-0000F27B0000}"/>
    <cellStyle name="20% - Accent1 2 4 4" xfId="174" xr:uid="{00000000-0005-0000-0000-0000AE000000}"/>
    <cellStyle name="20% - Accent1 2 4 4 2" xfId="31732" xr:uid="{00000000-0005-0000-0000-0000F47B0000}"/>
    <cellStyle name="20% - Accent1 2 4 5" xfId="31725" xr:uid="{00000000-0005-0000-0000-0000ED7B0000}"/>
    <cellStyle name="20% - Accent1 2 5" xfId="175" xr:uid="{00000000-0005-0000-0000-0000AF000000}"/>
    <cellStyle name="20% - Accent1 2 5 2" xfId="176" xr:uid="{00000000-0005-0000-0000-0000B0000000}"/>
    <cellStyle name="20% - Accent1 2 5 2 2" xfId="177" xr:uid="{00000000-0005-0000-0000-0000B1000000}"/>
    <cellStyle name="20% - Accent1 2 5 2 2 2" xfId="178" xr:uid="{00000000-0005-0000-0000-0000B2000000}"/>
    <cellStyle name="20% - Accent1 2 5 2 2 2 2" xfId="31736" xr:uid="{00000000-0005-0000-0000-0000F87B0000}"/>
    <cellStyle name="20% - Accent1 2 5 2 2 3" xfId="31735" xr:uid="{00000000-0005-0000-0000-0000F77B0000}"/>
    <cellStyle name="20% - Accent1 2 5 2 3" xfId="179" xr:uid="{00000000-0005-0000-0000-0000B3000000}"/>
    <cellStyle name="20% - Accent1 2 5 2 3 2" xfId="31737" xr:uid="{00000000-0005-0000-0000-0000F97B0000}"/>
    <cellStyle name="20% - Accent1 2 5 2 4" xfId="31734" xr:uid="{00000000-0005-0000-0000-0000F67B0000}"/>
    <cellStyle name="20% - Accent1 2 5 3" xfId="180" xr:uid="{00000000-0005-0000-0000-0000B4000000}"/>
    <cellStyle name="20% - Accent1 2 5 3 2" xfId="181" xr:uid="{00000000-0005-0000-0000-0000B5000000}"/>
    <cellStyle name="20% - Accent1 2 5 3 2 2" xfId="182" xr:uid="{00000000-0005-0000-0000-0000B6000000}"/>
    <cellStyle name="20% - Accent1 2 5 3 2 2 2" xfId="183" xr:uid="{00000000-0005-0000-0000-0000B7000000}"/>
    <cellStyle name="20% - Accent1 2 5 3 2 2 2 2" xfId="31741" xr:uid="{00000000-0005-0000-0000-0000FD7B0000}"/>
    <cellStyle name="20% - Accent1 2 5 3 2 2 3" xfId="31740" xr:uid="{00000000-0005-0000-0000-0000FC7B0000}"/>
    <cellStyle name="20% - Accent1 2 5 3 2 3" xfId="184" xr:uid="{00000000-0005-0000-0000-0000B8000000}"/>
    <cellStyle name="20% - Accent1 2 5 3 2 3 2" xfId="31742" xr:uid="{00000000-0005-0000-0000-0000FE7B0000}"/>
    <cellStyle name="20% - Accent1 2 5 3 2 4" xfId="31739" xr:uid="{00000000-0005-0000-0000-0000FB7B0000}"/>
    <cellStyle name="20% - Accent1 2 5 3 3" xfId="185" xr:uid="{00000000-0005-0000-0000-0000B9000000}"/>
    <cellStyle name="20% - Accent1 2 5 3 3 2" xfId="186" xr:uid="{00000000-0005-0000-0000-0000BA000000}"/>
    <cellStyle name="20% - Accent1 2 5 3 3 2 2" xfId="31744" xr:uid="{00000000-0005-0000-0000-0000007C0000}"/>
    <cellStyle name="20% - Accent1 2 5 3 3 3" xfId="31743" xr:uid="{00000000-0005-0000-0000-0000FF7B0000}"/>
    <cellStyle name="20% - Accent1 2 5 3 4" xfId="187" xr:uid="{00000000-0005-0000-0000-0000BB000000}"/>
    <cellStyle name="20% - Accent1 2 5 3 4 2" xfId="31745" xr:uid="{00000000-0005-0000-0000-0000017C0000}"/>
    <cellStyle name="20% - Accent1 2 5 3 5" xfId="31738" xr:uid="{00000000-0005-0000-0000-0000FA7B0000}"/>
    <cellStyle name="20% - Accent1 2 5 4" xfId="188" xr:uid="{00000000-0005-0000-0000-0000BC000000}"/>
    <cellStyle name="20% - Accent1 2 5 4 2" xfId="189" xr:uid="{00000000-0005-0000-0000-0000BD000000}"/>
    <cellStyle name="20% - Accent1 2 5 4 2 2" xfId="31747" xr:uid="{00000000-0005-0000-0000-0000037C0000}"/>
    <cellStyle name="20% - Accent1 2 5 4 3" xfId="31746" xr:uid="{00000000-0005-0000-0000-0000027C0000}"/>
    <cellStyle name="20% - Accent1 2 5 5" xfId="190" xr:uid="{00000000-0005-0000-0000-0000BE000000}"/>
    <cellStyle name="20% - Accent1 2 5 5 2" xfId="31748" xr:uid="{00000000-0005-0000-0000-0000047C0000}"/>
    <cellStyle name="20% - Accent1 2 5 6" xfId="31733" xr:uid="{00000000-0005-0000-0000-0000F57B0000}"/>
    <cellStyle name="20% - Accent1 2 6" xfId="191" xr:uid="{00000000-0005-0000-0000-0000BF000000}"/>
    <cellStyle name="20% - Accent1 2 6 2" xfId="192" xr:uid="{00000000-0005-0000-0000-0000C0000000}"/>
    <cellStyle name="20% - Accent1 2 6 2 2" xfId="193" xr:uid="{00000000-0005-0000-0000-0000C1000000}"/>
    <cellStyle name="20% - Accent1 2 6 2 2 2" xfId="31751" xr:uid="{00000000-0005-0000-0000-0000077C0000}"/>
    <cellStyle name="20% - Accent1 2 6 2 3" xfId="31750" xr:uid="{00000000-0005-0000-0000-0000067C0000}"/>
    <cellStyle name="20% - Accent1 2 6 3" xfId="194" xr:uid="{00000000-0005-0000-0000-0000C2000000}"/>
    <cellStyle name="20% - Accent1 2 6 3 2" xfId="31752" xr:uid="{00000000-0005-0000-0000-0000087C0000}"/>
    <cellStyle name="20% - Accent1 2 6 4" xfId="31749" xr:uid="{00000000-0005-0000-0000-0000057C0000}"/>
    <cellStyle name="20% - Accent1 2 7" xfId="195" xr:uid="{00000000-0005-0000-0000-0000C3000000}"/>
    <cellStyle name="20% - Accent1 2 7 2" xfId="196" xr:uid="{00000000-0005-0000-0000-0000C4000000}"/>
    <cellStyle name="20% - Accent1 2 7 2 2" xfId="197" xr:uid="{00000000-0005-0000-0000-0000C5000000}"/>
    <cellStyle name="20% - Accent1 2 7 2 2 2" xfId="31755" xr:uid="{00000000-0005-0000-0000-00000B7C0000}"/>
    <cellStyle name="20% - Accent1 2 7 2 3" xfId="31754" xr:uid="{00000000-0005-0000-0000-00000A7C0000}"/>
    <cellStyle name="20% - Accent1 2 7 3" xfId="198" xr:uid="{00000000-0005-0000-0000-0000C6000000}"/>
    <cellStyle name="20% - Accent1 2 7 3 2" xfId="31756" xr:uid="{00000000-0005-0000-0000-00000C7C0000}"/>
    <cellStyle name="20% - Accent1 2 7 4" xfId="31753" xr:uid="{00000000-0005-0000-0000-0000097C0000}"/>
    <cellStyle name="20% - Accent1 2 8" xfId="199" xr:uid="{00000000-0005-0000-0000-0000C7000000}"/>
    <cellStyle name="20% - Accent1 2 8 2" xfId="200" xr:uid="{00000000-0005-0000-0000-0000C8000000}"/>
    <cellStyle name="20% - Accent1 2 8 2 2" xfId="201" xr:uid="{00000000-0005-0000-0000-0000C9000000}"/>
    <cellStyle name="20% - Accent1 2 8 2 2 2" xfId="202" xr:uid="{00000000-0005-0000-0000-0000CA000000}"/>
    <cellStyle name="20% - Accent1 2 8 2 2 2 2" xfId="31760" xr:uid="{00000000-0005-0000-0000-0000107C0000}"/>
    <cellStyle name="20% - Accent1 2 8 2 2 3" xfId="31759" xr:uid="{00000000-0005-0000-0000-00000F7C0000}"/>
    <cellStyle name="20% - Accent1 2 8 2 3" xfId="203" xr:uid="{00000000-0005-0000-0000-0000CB000000}"/>
    <cellStyle name="20% - Accent1 2 8 2 3 2" xfId="31761" xr:uid="{00000000-0005-0000-0000-0000117C0000}"/>
    <cellStyle name="20% - Accent1 2 8 2 4" xfId="31758" xr:uid="{00000000-0005-0000-0000-00000E7C0000}"/>
    <cellStyle name="20% - Accent1 2 8 3" xfId="204" xr:uid="{00000000-0005-0000-0000-0000CC000000}"/>
    <cellStyle name="20% - Accent1 2 8 3 2" xfId="205" xr:uid="{00000000-0005-0000-0000-0000CD000000}"/>
    <cellStyle name="20% - Accent1 2 8 3 2 2" xfId="31763" xr:uid="{00000000-0005-0000-0000-0000137C0000}"/>
    <cellStyle name="20% - Accent1 2 8 3 3" xfId="31762" xr:uid="{00000000-0005-0000-0000-0000127C0000}"/>
    <cellStyle name="20% - Accent1 2 8 4" xfId="206" xr:uid="{00000000-0005-0000-0000-0000CE000000}"/>
    <cellStyle name="20% - Accent1 2 8 4 2" xfId="31764" xr:uid="{00000000-0005-0000-0000-0000147C0000}"/>
    <cellStyle name="20% - Accent1 2 8 5" xfId="31757" xr:uid="{00000000-0005-0000-0000-00000D7C0000}"/>
    <cellStyle name="20% - Accent1 2 9" xfId="207" xr:uid="{00000000-0005-0000-0000-0000CF000000}"/>
    <cellStyle name="20% - Accent1 2 9 2" xfId="208" xr:uid="{00000000-0005-0000-0000-0000D0000000}"/>
    <cellStyle name="20% - Accent1 2 9 2 2" xfId="31766" xr:uid="{00000000-0005-0000-0000-0000167C0000}"/>
    <cellStyle name="20% - Accent1 2 9 3" xfId="31765" xr:uid="{00000000-0005-0000-0000-0000157C0000}"/>
    <cellStyle name="20% - Accent1 3" xfId="209" xr:uid="{00000000-0005-0000-0000-0000D1000000}"/>
    <cellStyle name="20% - Accent1 3 2" xfId="210" xr:uid="{00000000-0005-0000-0000-0000D2000000}"/>
    <cellStyle name="20% - Accent1 3 2 2" xfId="211" xr:uid="{00000000-0005-0000-0000-0000D3000000}"/>
    <cellStyle name="20% - Accent1 3 2 2 2" xfId="212" xr:uid="{00000000-0005-0000-0000-0000D4000000}"/>
    <cellStyle name="20% - Accent1 3 2 2 2 2" xfId="31770" xr:uid="{00000000-0005-0000-0000-00001A7C0000}"/>
    <cellStyle name="20% - Accent1 3 2 2 3" xfId="31769" xr:uid="{00000000-0005-0000-0000-0000197C0000}"/>
    <cellStyle name="20% - Accent1 3 2 3" xfId="213" xr:uid="{00000000-0005-0000-0000-0000D5000000}"/>
    <cellStyle name="20% - Accent1 3 2 3 2" xfId="31771" xr:uid="{00000000-0005-0000-0000-00001B7C0000}"/>
    <cellStyle name="20% - Accent1 3 2 4" xfId="31768" xr:uid="{00000000-0005-0000-0000-0000187C0000}"/>
    <cellStyle name="20% - Accent1 3 3" xfId="214" xr:uid="{00000000-0005-0000-0000-0000D6000000}"/>
    <cellStyle name="20% - Accent1 3 3 2" xfId="215" xr:uid="{00000000-0005-0000-0000-0000D7000000}"/>
    <cellStyle name="20% - Accent1 3 4" xfId="216" xr:uid="{00000000-0005-0000-0000-0000D8000000}"/>
    <cellStyle name="20% - Accent1 3 4 2" xfId="217" xr:uid="{00000000-0005-0000-0000-0000D9000000}"/>
    <cellStyle name="20% - Accent1 3 4 2 2" xfId="218" xr:uid="{00000000-0005-0000-0000-0000DA000000}"/>
    <cellStyle name="20% - Accent1 3 4 3" xfId="219" xr:uid="{00000000-0005-0000-0000-0000DB000000}"/>
    <cellStyle name="20% - Accent1 3 5" xfId="220" xr:uid="{00000000-0005-0000-0000-0000DC000000}"/>
    <cellStyle name="20% - Accent1 3 6" xfId="31767" xr:uid="{00000000-0005-0000-0000-0000177C0000}"/>
    <cellStyle name="20% - Accent1 4" xfId="221" xr:uid="{00000000-0005-0000-0000-0000DD000000}"/>
    <cellStyle name="20% - Accent1 4 2" xfId="222" xr:uid="{00000000-0005-0000-0000-0000DE000000}"/>
    <cellStyle name="20% - Accent1 4 2 2" xfId="223" xr:uid="{00000000-0005-0000-0000-0000DF000000}"/>
    <cellStyle name="20% - Accent1 4 3" xfId="224" xr:uid="{00000000-0005-0000-0000-0000E0000000}"/>
    <cellStyle name="20% - Accent1 4 3 2" xfId="225" xr:uid="{00000000-0005-0000-0000-0000E1000000}"/>
    <cellStyle name="20% - Accent1 4 3 2 2" xfId="226" xr:uid="{00000000-0005-0000-0000-0000E2000000}"/>
    <cellStyle name="20% - Accent1 4 3 3" xfId="227" xr:uid="{00000000-0005-0000-0000-0000E3000000}"/>
    <cellStyle name="20% - Accent1 4 4" xfId="228" xr:uid="{00000000-0005-0000-0000-0000E4000000}"/>
    <cellStyle name="20% - Accent1 4 5" xfId="31772" xr:uid="{00000000-0005-0000-0000-00001C7C0000}"/>
    <cellStyle name="20% - Accent1 5" xfId="229" xr:uid="{00000000-0005-0000-0000-0000E5000000}"/>
    <cellStyle name="20% - Accent1 5 2" xfId="230" xr:uid="{00000000-0005-0000-0000-0000E6000000}"/>
    <cellStyle name="20% - Accent1 5 2 2" xfId="231" xr:uid="{00000000-0005-0000-0000-0000E7000000}"/>
    <cellStyle name="20% - Accent1 5 2 2 2" xfId="232" xr:uid="{00000000-0005-0000-0000-0000E8000000}"/>
    <cellStyle name="20% - Accent1 5 2 2 2 2" xfId="31776" xr:uid="{00000000-0005-0000-0000-0000207C0000}"/>
    <cellStyle name="20% - Accent1 5 2 2 3" xfId="31775" xr:uid="{00000000-0005-0000-0000-00001F7C0000}"/>
    <cellStyle name="20% - Accent1 5 2 3" xfId="233" xr:uid="{00000000-0005-0000-0000-0000E9000000}"/>
    <cellStyle name="20% - Accent1 5 2 3 2" xfId="31777" xr:uid="{00000000-0005-0000-0000-0000217C0000}"/>
    <cellStyle name="20% - Accent1 5 2 4" xfId="31774" xr:uid="{00000000-0005-0000-0000-00001E7C0000}"/>
    <cellStyle name="20% - Accent1 5 3" xfId="234" xr:uid="{00000000-0005-0000-0000-0000EA000000}"/>
    <cellStyle name="20% - Accent1 5 3 2" xfId="235" xr:uid="{00000000-0005-0000-0000-0000EB000000}"/>
    <cellStyle name="20% - Accent1 5 3 2 2" xfId="236" xr:uid="{00000000-0005-0000-0000-0000EC000000}"/>
    <cellStyle name="20% - Accent1 5 3 2 2 2" xfId="237" xr:uid="{00000000-0005-0000-0000-0000ED000000}"/>
    <cellStyle name="20% - Accent1 5 3 2 2 2 2" xfId="31781" xr:uid="{00000000-0005-0000-0000-0000257C0000}"/>
    <cellStyle name="20% - Accent1 5 3 2 2 3" xfId="31780" xr:uid="{00000000-0005-0000-0000-0000247C0000}"/>
    <cellStyle name="20% - Accent1 5 3 2 3" xfId="238" xr:uid="{00000000-0005-0000-0000-0000EE000000}"/>
    <cellStyle name="20% - Accent1 5 3 2 3 2" xfId="31782" xr:uid="{00000000-0005-0000-0000-0000267C0000}"/>
    <cellStyle name="20% - Accent1 5 3 2 4" xfId="31779" xr:uid="{00000000-0005-0000-0000-0000237C0000}"/>
    <cellStyle name="20% - Accent1 5 3 3" xfId="239" xr:uid="{00000000-0005-0000-0000-0000EF000000}"/>
    <cellStyle name="20% - Accent1 5 3 3 2" xfId="240" xr:uid="{00000000-0005-0000-0000-0000F0000000}"/>
    <cellStyle name="20% - Accent1 5 3 3 2 2" xfId="31784" xr:uid="{00000000-0005-0000-0000-0000287C0000}"/>
    <cellStyle name="20% - Accent1 5 3 3 3" xfId="31783" xr:uid="{00000000-0005-0000-0000-0000277C0000}"/>
    <cellStyle name="20% - Accent1 5 3 4" xfId="241" xr:uid="{00000000-0005-0000-0000-0000F1000000}"/>
    <cellStyle name="20% - Accent1 5 3 4 2" xfId="31785" xr:uid="{00000000-0005-0000-0000-0000297C0000}"/>
    <cellStyle name="20% - Accent1 5 3 5" xfId="31778" xr:uid="{00000000-0005-0000-0000-0000227C0000}"/>
    <cellStyle name="20% - Accent1 5 4" xfId="242" xr:uid="{00000000-0005-0000-0000-0000F2000000}"/>
    <cellStyle name="20% - Accent1 5 4 2" xfId="243" xr:uid="{00000000-0005-0000-0000-0000F3000000}"/>
    <cellStyle name="20% - Accent1 5 4 2 2" xfId="31787" xr:uid="{00000000-0005-0000-0000-00002B7C0000}"/>
    <cellStyle name="20% - Accent1 5 4 3" xfId="31786" xr:uid="{00000000-0005-0000-0000-00002A7C0000}"/>
    <cellStyle name="20% - Accent1 5 5" xfId="244" xr:uid="{00000000-0005-0000-0000-0000F4000000}"/>
    <cellStyle name="20% - Accent1 5 5 2" xfId="31788" xr:uid="{00000000-0005-0000-0000-00002C7C0000}"/>
    <cellStyle name="20% - Accent1 5 6" xfId="31773" xr:uid="{00000000-0005-0000-0000-00001D7C0000}"/>
    <cellStyle name="20% - Accent1 6" xfId="245" xr:uid="{00000000-0005-0000-0000-0000F5000000}"/>
    <cellStyle name="20% - Accent1 6 2" xfId="246" xr:uid="{00000000-0005-0000-0000-0000F6000000}"/>
    <cellStyle name="20% - Accent1 6 2 2" xfId="247" xr:uid="{00000000-0005-0000-0000-0000F7000000}"/>
    <cellStyle name="20% - Accent1 6 2 2 2" xfId="248" xr:uid="{00000000-0005-0000-0000-0000F8000000}"/>
    <cellStyle name="20% - Accent1 6 2 2 2 2" xfId="31792" xr:uid="{00000000-0005-0000-0000-0000307C0000}"/>
    <cellStyle name="20% - Accent1 6 2 2 3" xfId="31791" xr:uid="{00000000-0005-0000-0000-00002F7C0000}"/>
    <cellStyle name="20% - Accent1 6 2 3" xfId="249" xr:uid="{00000000-0005-0000-0000-0000F9000000}"/>
    <cellStyle name="20% - Accent1 6 2 3 2" xfId="31793" xr:uid="{00000000-0005-0000-0000-0000317C0000}"/>
    <cellStyle name="20% - Accent1 6 2 4" xfId="31790" xr:uid="{00000000-0005-0000-0000-00002E7C0000}"/>
    <cellStyle name="20% - Accent1 6 3" xfId="250" xr:uid="{00000000-0005-0000-0000-0000FA000000}"/>
    <cellStyle name="20% - Accent1 6 3 2" xfId="251" xr:uid="{00000000-0005-0000-0000-0000FB000000}"/>
    <cellStyle name="20% - Accent1 6 3 2 2" xfId="31795" xr:uid="{00000000-0005-0000-0000-0000337C0000}"/>
    <cellStyle name="20% - Accent1 6 3 3" xfId="31794" xr:uid="{00000000-0005-0000-0000-0000327C0000}"/>
    <cellStyle name="20% - Accent1 6 4" xfId="252" xr:uid="{00000000-0005-0000-0000-0000FC000000}"/>
    <cellStyle name="20% - Accent1 6 4 2" xfId="31796" xr:uid="{00000000-0005-0000-0000-0000347C0000}"/>
    <cellStyle name="20% - Accent1 6 5" xfId="31789" xr:uid="{00000000-0005-0000-0000-00002D7C0000}"/>
    <cellStyle name="20% - Accent1 7" xfId="253" xr:uid="{00000000-0005-0000-0000-0000FD000000}"/>
    <cellStyle name="20% - Accent1 8" xfId="254" xr:uid="{00000000-0005-0000-0000-0000FE000000}"/>
    <cellStyle name="20% - Accent2 2" xfId="255" xr:uid="{00000000-0005-0000-0000-0000FF000000}"/>
    <cellStyle name="20% - Accent2 2 10" xfId="256" xr:uid="{00000000-0005-0000-0000-000000010000}"/>
    <cellStyle name="20% - Accent2 2 10 2" xfId="257" xr:uid="{00000000-0005-0000-0000-000001010000}"/>
    <cellStyle name="20% - Accent2 2 11" xfId="258" xr:uid="{00000000-0005-0000-0000-000002010000}"/>
    <cellStyle name="20% - Accent2 2 11 2" xfId="31798" xr:uid="{00000000-0005-0000-0000-0000367C0000}"/>
    <cellStyle name="20% - Accent2 2 12" xfId="31797" xr:uid="{00000000-0005-0000-0000-0000357C0000}"/>
    <cellStyle name="20% - Accent2 2 2" xfId="259" xr:uid="{00000000-0005-0000-0000-000003010000}"/>
    <cellStyle name="20% - Accent2 2 2 2" xfId="260" xr:uid="{00000000-0005-0000-0000-000004010000}"/>
    <cellStyle name="20% - Accent2 2 2 2 2" xfId="261" xr:uid="{00000000-0005-0000-0000-000005010000}"/>
    <cellStyle name="20% - Accent2 2 2 2 2 2" xfId="262" xr:uid="{00000000-0005-0000-0000-000006010000}"/>
    <cellStyle name="20% - Accent2 2 2 2 3" xfId="263" xr:uid="{00000000-0005-0000-0000-000007010000}"/>
    <cellStyle name="20% - Accent2 2 2 2 3 2" xfId="264" xr:uid="{00000000-0005-0000-0000-000008010000}"/>
    <cellStyle name="20% - Accent2 2 2 2 3 2 2" xfId="265" xr:uid="{00000000-0005-0000-0000-000009010000}"/>
    <cellStyle name="20% - Accent2 2 2 2 3 3" xfId="266" xr:uid="{00000000-0005-0000-0000-00000A010000}"/>
    <cellStyle name="20% - Accent2 2 2 2 4" xfId="267" xr:uid="{00000000-0005-0000-0000-00000B010000}"/>
    <cellStyle name="20% - Accent2 2 2 3" xfId="268" xr:uid="{00000000-0005-0000-0000-00000C010000}"/>
    <cellStyle name="20% - Accent2 2 2 3 2" xfId="269" xr:uid="{00000000-0005-0000-0000-00000D010000}"/>
    <cellStyle name="20% - Accent2 2 2 3 2 2" xfId="270" xr:uid="{00000000-0005-0000-0000-00000E010000}"/>
    <cellStyle name="20% - Accent2 2 2 3 2 2 2" xfId="31802" xr:uid="{00000000-0005-0000-0000-00003A7C0000}"/>
    <cellStyle name="20% - Accent2 2 2 3 2 3" xfId="31801" xr:uid="{00000000-0005-0000-0000-0000397C0000}"/>
    <cellStyle name="20% - Accent2 2 2 3 3" xfId="271" xr:uid="{00000000-0005-0000-0000-00000F010000}"/>
    <cellStyle name="20% - Accent2 2 2 3 3 2" xfId="31803" xr:uid="{00000000-0005-0000-0000-00003B7C0000}"/>
    <cellStyle name="20% - Accent2 2 2 3 4" xfId="31800" xr:uid="{00000000-0005-0000-0000-0000387C0000}"/>
    <cellStyle name="20% - Accent2 2 2 4" xfId="272" xr:uid="{00000000-0005-0000-0000-000010010000}"/>
    <cellStyle name="20% - Accent2 2 2 4 2" xfId="273" xr:uid="{00000000-0005-0000-0000-000011010000}"/>
    <cellStyle name="20% - Accent2 2 2 4 2 2" xfId="274" xr:uid="{00000000-0005-0000-0000-000012010000}"/>
    <cellStyle name="20% - Accent2 2 2 4 2 2 2" xfId="275" xr:uid="{00000000-0005-0000-0000-000013010000}"/>
    <cellStyle name="20% - Accent2 2 2 4 2 2 2 2" xfId="31807" xr:uid="{00000000-0005-0000-0000-00003F7C0000}"/>
    <cellStyle name="20% - Accent2 2 2 4 2 2 3" xfId="31806" xr:uid="{00000000-0005-0000-0000-00003E7C0000}"/>
    <cellStyle name="20% - Accent2 2 2 4 2 3" xfId="276" xr:uid="{00000000-0005-0000-0000-000014010000}"/>
    <cellStyle name="20% - Accent2 2 2 4 2 3 2" xfId="31808" xr:uid="{00000000-0005-0000-0000-0000407C0000}"/>
    <cellStyle name="20% - Accent2 2 2 4 2 4" xfId="31805" xr:uid="{00000000-0005-0000-0000-00003D7C0000}"/>
    <cellStyle name="20% - Accent2 2 2 4 3" xfId="277" xr:uid="{00000000-0005-0000-0000-000015010000}"/>
    <cellStyle name="20% - Accent2 2 2 4 3 2" xfId="278" xr:uid="{00000000-0005-0000-0000-000016010000}"/>
    <cellStyle name="20% - Accent2 2 2 4 3 2 2" xfId="31810" xr:uid="{00000000-0005-0000-0000-0000427C0000}"/>
    <cellStyle name="20% - Accent2 2 2 4 3 3" xfId="31809" xr:uid="{00000000-0005-0000-0000-0000417C0000}"/>
    <cellStyle name="20% - Accent2 2 2 4 4" xfId="279" xr:uid="{00000000-0005-0000-0000-000017010000}"/>
    <cellStyle name="20% - Accent2 2 2 4 4 2" xfId="31811" xr:uid="{00000000-0005-0000-0000-0000437C0000}"/>
    <cellStyle name="20% - Accent2 2 2 4 5" xfId="31804" xr:uid="{00000000-0005-0000-0000-00003C7C0000}"/>
    <cellStyle name="20% - Accent2 2 2 5" xfId="280" xr:uid="{00000000-0005-0000-0000-000018010000}"/>
    <cellStyle name="20% - Accent2 2 2 5 2" xfId="281" xr:uid="{00000000-0005-0000-0000-000019010000}"/>
    <cellStyle name="20% - Accent2 2 2 5 2 2" xfId="31813" xr:uid="{00000000-0005-0000-0000-0000457C0000}"/>
    <cellStyle name="20% - Accent2 2 2 5 3" xfId="31812" xr:uid="{00000000-0005-0000-0000-0000447C0000}"/>
    <cellStyle name="20% - Accent2 2 2 6" xfId="282" xr:uid="{00000000-0005-0000-0000-00001A010000}"/>
    <cellStyle name="20% - Accent2 2 2 6 2" xfId="31814" xr:uid="{00000000-0005-0000-0000-0000467C0000}"/>
    <cellStyle name="20% - Accent2 2 2 7" xfId="31799" xr:uid="{00000000-0005-0000-0000-0000377C0000}"/>
    <cellStyle name="20% - Accent2 2 3" xfId="283" xr:uid="{00000000-0005-0000-0000-00001B010000}"/>
    <cellStyle name="20% - Accent2 2 3 2" xfId="284" xr:uid="{00000000-0005-0000-0000-00001C010000}"/>
    <cellStyle name="20% - Accent2 2 3 2 2" xfId="285" xr:uid="{00000000-0005-0000-0000-00001D010000}"/>
    <cellStyle name="20% - Accent2 2 3 2 2 2" xfId="286" xr:uid="{00000000-0005-0000-0000-00001E010000}"/>
    <cellStyle name="20% - Accent2 2 3 2 3" xfId="287" xr:uid="{00000000-0005-0000-0000-00001F010000}"/>
    <cellStyle name="20% - Accent2 2 3 3" xfId="288" xr:uid="{00000000-0005-0000-0000-000020010000}"/>
    <cellStyle name="20% - Accent2 2 3 3 2" xfId="289" xr:uid="{00000000-0005-0000-0000-000021010000}"/>
    <cellStyle name="20% - Accent2 2 3 3 2 2" xfId="290" xr:uid="{00000000-0005-0000-0000-000022010000}"/>
    <cellStyle name="20% - Accent2 2 3 3 2 2 2" xfId="291" xr:uid="{00000000-0005-0000-0000-000023010000}"/>
    <cellStyle name="20% - Accent2 2 3 3 2 3" xfId="292" xr:uid="{00000000-0005-0000-0000-000024010000}"/>
    <cellStyle name="20% - Accent2 2 3 3 3" xfId="293" xr:uid="{00000000-0005-0000-0000-000025010000}"/>
    <cellStyle name="20% - Accent2 2 3 3 3 2" xfId="294" xr:uid="{00000000-0005-0000-0000-000026010000}"/>
    <cellStyle name="20% - Accent2 2 3 3 4" xfId="295" xr:uid="{00000000-0005-0000-0000-000027010000}"/>
    <cellStyle name="20% - Accent2 2 3 4" xfId="296" xr:uid="{00000000-0005-0000-0000-000028010000}"/>
    <cellStyle name="20% - Accent2 2 3 4 2" xfId="297" xr:uid="{00000000-0005-0000-0000-000029010000}"/>
    <cellStyle name="20% - Accent2 2 3 5" xfId="298" xr:uid="{00000000-0005-0000-0000-00002A010000}"/>
    <cellStyle name="20% - Accent2 2 4" xfId="299" xr:uid="{00000000-0005-0000-0000-00002B010000}"/>
    <cellStyle name="20% - Accent2 2 4 2" xfId="300" xr:uid="{00000000-0005-0000-0000-00002C010000}"/>
    <cellStyle name="20% - Accent2 2 4 2 2" xfId="301" xr:uid="{00000000-0005-0000-0000-00002D010000}"/>
    <cellStyle name="20% - Accent2 2 4 2 2 2" xfId="302" xr:uid="{00000000-0005-0000-0000-00002E010000}"/>
    <cellStyle name="20% - Accent2 2 4 2 3" xfId="303" xr:uid="{00000000-0005-0000-0000-00002F010000}"/>
    <cellStyle name="20% - Accent2 2 4 3" xfId="304" xr:uid="{00000000-0005-0000-0000-000030010000}"/>
    <cellStyle name="20% - Accent2 2 4 3 2" xfId="305" xr:uid="{00000000-0005-0000-0000-000031010000}"/>
    <cellStyle name="20% - Accent2 2 4 4" xfId="306" xr:uid="{00000000-0005-0000-0000-000032010000}"/>
    <cellStyle name="20% - Accent2 2 5" xfId="307" xr:uid="{00000000-0005-0000-0000-000033010000}"/>
    <cellStyle name="20% - Accent2 2 5 2" xfId="308" xr:uid="{00000000-0005-0000-0000-000034010000}"/>
    <cellStyle name="20% - Accent2 2 5 2 2" xfId="309" xr:uid="{00000000-0005-0000-0000-000035010000}"/>
    <cellStyle name="20% - Accent2 2 5 2 2 2" xfId="310" xr:uid="{00000000-0005-0000-0000-000036010000}"/>
    <cellStyle name="20% - Accent2 2 5 2 3" xfId="311" xr:uid="{00000000-0005-0000-0000-000037010000}"/>
    <cellStyle name="20% - Accent2 2 5 3" xfId="312" xr:uid="{00000000-0005-0000-0000-000038010000}"/>
    <cellStyle name="20% - Accent2 2 5 3 2" xfId="313" xr:uid="{00000000-0005-0000-0000-000039010000}"/>
    <cellStyle name="20% - Accent2 2 5 3 2 2" xfId="314" xr:uid="{00000000-0005-0000-0000-00003A010000}"/>
    <cellStyle name="20% - Accent2 2 5 3 2 2 2" xfId="315" xr:uid="{00000000-0005-0000-0000-00003B010000}"/>
    <cellStyle name="20% - Accent2 2 5 3 2 3" xfId="316" xr:uid="{00000000-0005-0000-0000-00003C010000}"/>
    <cellStyle name="20% - Accent2 2 5 3 3" xfId="317" xr:uid="{00000000-0005-0000-0000-00003D010000}"/>
    <cellStyle name="20% - Accent2 2 5 3 3 2" xfId="318" xr:uid="{00000000-0005-0000-0000-00003E010000}"/>
    <cellStyle name="20% - Accent2 2 5 3 4" xfId="319" xr:uid="{00000000-0005-0000-0000-00003F010000}"/>
    <cellStyle name="20% - Accent2 2 5 4" xfId="320" xr:uid="{00000000-0005-0000-0000-000040010000}"/>
    <cellStyle name="20% - Accent2 2 5 4 2" xfId="321" xr:uid="{00000000-0005-0000-0000-000041010000}"/>
    <cellStyle name="20% - Accent2 2 5 5" xfId="322" xr:uid="{00000000-0005-0000-0000-000042010000}"/>
    <cellStyle name="20% - Accent2 2 6" xfId="323" xr:uid="{00000000-0005-0000-0000-000043010000}"/>
    <cellStyle name="20% - Accent2 2 6 2" xfId="324" xr:uid="{00000000-0005-0000-0000-000044010000}"/>
    <cellStyle name="20% - Accent2 2 6 2 2" xfId="325" xr:uid="{00000000-0005-0000-0000-000045010000}"/>
    <cellStyle name="20% - Accent2 2 6 3" xfId="326" xr:uid="{00000000-0005-0000-0000-000046010000}"/>
    <cellStyle name="20% - Accent2 2 7" xfId="327" xr:uid="{00000000-0005-0000-0000-000047010000}"/>
    <cellStyle name="20% - Accent2 2 7 2" xfId="328" xr:uid="{00000000-0005-0000-0000-000048010000}"/>
    <cellStyle name="20% - Accent2 2 7 2 2" xfId="329" xr:uid="{00000000-0005-0000-0000-000049010000}"/>
    <cellStyle name="20% - Accent2 2 7 2 2 2" xfId="31817" xr:uid="{00000000-0005-0000-0000-0000497C0000}"/>
    <cellStyle name="20% - Accent2 2 7 2 3" xfId="31816" xr:uid="{00000000-0005-0000-0000-0000487C0000}"/>
    <cellStyle name="20% - Accent2 2 7 3" xfId="330" xr:uid="{00000000-0005-0000-0000-00004A010000}"/>
    <cellStyle name="20% - Accent2 2 7 3 2" xfId="31818" xr:uid="{00000000-0005-0000-0000-00004A7C0000}"/>
    <cellStyle name="20% - Accent2 2 7 4" xfId="31815" xr:uid="{00000000-0005-0000-0000-0000477C0000}"/>
    <cellStyle name="20% - Accent2 2 8" xfId="331" xr:uid="{00000000-0005-0000-0000-00004B010000}"/>
    <cellStyle name="20% - Accent2 2 8 2" xfId="332" xr:uid="{00000000-0005-0000-0000-00004C010000}"/>
    <cellStyle name="20% - Accent2 2 8 2 2" xfId="333" xr:uid="{00000000-0005-0000-0000-00004D010000}"/>
    <cellStyle name="20% - Accent2 2 8 2 2 2" xfId="334" xr:uid="{00000000-0005-0000-0000-00004E010000}"/>
    <cellStyle name="20% - Accent2 2 8 2 2 2 2" xfId="31822" xr:uid="{00000000-0005-0000-0000-00004E7C0000}"/>
    <cellStyle name="20% - Accent2 2 8 2 2 3" xfId="31821" xr:uid="{00000000-0005-0000-0000-00004D7C0000}"/>
    <cellStyle name="20% - Accent2 2 8 2 3" xfId="335" xr:uid="{00000000-0005-0000-0000-00004F010000}"/>
    <cellStyle name="20% - Accent2 2 8 2 3 2" xfId="31823" xr:uid="{00000000-0005-0000-0000-00004F7C0000}"/>
    <cellStyle name="20% - Accent2 2 8 2 4" xfId="31820" xr:uid="{00000000-0005-0000-0000-00004C7C0000}"/>
    <cellStyle name="20% - Accent2 2 8 3" xfId="336" xr:uid="{00000000-0005-0000-0000-000050010000}"/>
    <cellStyle name="20% - Accent2 2 8 3 2" xfId="337" xr:uid="{00000000-0005-0000-0000-000051010000}"/>
    <cellStyle name="20% - Accent2 2 8 3 2 2" xfId="31825" xr:uid="{00000000-0005-0000-0000-0000517C0000}"/>
    <cellStyle name="20% - Accent2 2 8 3 3" xfId="31824" xr:uid="{00000000-0005-0000-0000-0000507C0000}"/>
    <cellStyle name="20% - Accent2 2 8 4" xfId="338" xr:uid="{00000000-0005-0000-0000-000052010000}"/>
    <cellStyle name="20% - Accent2 2 8 4 2" xfId="31826" xr:uid="{00000000-0005-0000-0000-0000527C0000}"/>
    <cellStyle name="20% - Accent2 2 8 5" xfId="31819" xr:uid="{00000000-0005-0000-0000-00004B7C0000}"/>
    <cellStyle name="20% - Accent2 2 9" xfId="339" xr:uid="{00000000-0005-0000-0000-000053010000}"/>
    <cellStyle name="20% - Accent2 2 9 2" xfId="340" xr:uid="{00000000-0005-0000-0000-000054010000}"/>
    <cellStyle name="20% - Accent2 2 9 2 2" xfId="31828" xr:uid="{00000000-0005-0000-0000-0000547C0000}"/>
    <cellStyle name="20% - Accent2 2 9 3" xfId="31827" xr:uid="{00000000-0005-0000-0000-0000537C0000}"/>
    <cellStyle name="20% - Accent2 3" xfId="341" xr:uid="{00000000-0005-0000-0000-000055010000}"/>
    <cellStyle name="20% - Accent2 3 2" xfId="342" xr:uid="{00000000-0005-0000-0000-000056010000}"/>
    <cellStyle name="20% - Accent2 3 2 2" xfId="343" xr:uid="{00000000-0005-0000-0000-000057010000}"/>
    <cellStyle name="20% - Accent2 3 2 2 2" xfId="344" xr:uid="{00000000-0005-0000-0000-000058010000}"/>
    <cellStyle name="20% - Accent2 3 2 3" xfId="345" xr:uid="{00000000-0005-0000-0000-000059010000}"/>
    <cellStyle name="20% - Accent2 3 3" xfId="346" xr:uid="{00000000-0005-0000-0000-00005A010000}"/>
    <cellStyle name="20% - Accent2 3 3 2" xfId="347" xr:uid="{00000000-0005-0000-0000-00005B010000}"/>
    <cellStyle name="20% - Accent2 3 4" xfId="348" xr:uid="{00000000-0005-0000-0000-00005C010000}"/>
    <cellStyle name="20% - Accent2 3 4 2" xfId="349" xr:uid="{00000000-0005-0000-0000-00005D010000}"/>
    <cellStyle name="20% - Accent2 3 4 2 2" xfId="350" xr:uid="{00000000-0005-0000-0000-00005E010000}"/>
    <cellStyle name="20% - Accent2 3 4 3" xfId="351" xr:uid="{00000000-0005-0000-0000-00005F010000}"/>
    <cellStyle name="20% - Accent2 3 5" xfId="352" xr:uid="{00000000-0005-0000-0000-000060010000}"/>
    <cellStyle name="20% - Accent2 3 6" xfId="31829" xr:uid="{00000000-0005-0000-0000-0000557C0000}"/>
    <cellStyle name="20% - Accent2 4" xfId="353" xr:uid="{00000000-0005-0000-0000-000061010000}"/>
    <cellStyle name="20% - Accent2 4 2" xfId="354" xr:uid="{00000000-0005-0000-0000-000062010000}"/>
    <cellStyle name="20% - Accent2 4 2 2" xfId="355" xr:uid="{00000000-0005-0000-0000-000063010000}"/>
    <cellStyle name="20% - Accent2 4 3" xfId="356" xr:uid="{00000000-0005-0000-0000-000064010000}"/>
    <cellStyle name="20% - Accent2 4 3 2" xfId="357" xr:uid="{00000000-0005-0000-0000-000065010000}"/>
    <cellStyle name="20% - Accent2 4 3 2 2" xfId="358" xr:uid="{00000000-0005-0000-0000-000066010000}"/>
    <cellStyle name="20% - Accent2 4 3 3" xfId="359" xr:uid="{00000000-0005-0000-0000-000067010000}"/>
    <cellStyle name="20% - Accent2 4 4" xfId="360" xr:uid="{00000000-0005-0000-0000-000068010000}"/>
    <cellStyle name="20% - Accent2 4 5" xfId="31830" xr:uid="{00000000-0005-0000-0000-0000567C0000}"/>
    <cellStyle name="20% - Accent2 5" xfId="361" xr:uid="{00000000-0005-0000-0000-000069010000}"/>
    <cellStyle name="20% - Accent2 5 2" xfId="362" xr:uid="{00000000-0005-0000-0000-00006A010000}"/>
    <cellStyle name="20% - Accent2 5 2 2" xfId="363" xr:uid="{00000000-0005-0000-0000-00006B010000}"/>
    <cellStyle name="20% - Accent2 5 2 2 2" xfId="364" xr:uid="{00000000-0005-0000-0000-00006C010000}"/>
    <cellStyle name="20% - Accent2 5 2 2 2 2" xfId="31834" xr:uid="{00000000-0005-0000-0000-00005A7C0000}"/>
    <cellStyle name="20% - Accent2 5 2 2 3" xfId="31833" xr:uid="{00000000-0005-0000-0000-0000597C0000}"/>
    <cellStyle name="20% - Accent2 5 2 3" xfId="365" xr:uid="{00000000-0005-0000-0000-00006D010000}"/>
    <cellStyle name="20% - Accent2 5 2 3 2" xfId="31835" xr:uid="{00000000-0005-0000-0000-00005B7C0000}"/>
    <cellStyle name="20% - Accent2 5 2 4" xfId="31832" xr:uid="{00000000-0005-0000-0000-0000587C0000}"/>
    <cellStyle name="20% - Accent2 5 3" xfId="366" xr:uid="{00000000-0005-0000-0000-00006E010000}"/>
    <cellStyle name="20% - Accent2 5 3 2" xfId="367" xr:uid="{00000000-0005-0000-0000-00006F010000}"/>
    <cellStyle name="20% - Accent2 5 3 2 2" xfId="368" xr:uid="{00000000-0005-0000-0000-000070010000}"/>
    <cellStyle name="20% - Accent2 5 3 2 2 2" xfId="369" xr:uid="{00000000-0005-0000-0000-000071010000}"/>
    <cellStyle name="20% - Accent2 5 3 2 2 2 2" xfId="31839" xr:uid="{00000000-0005-0000-0000-00005F7C0000}"/>
    <cellStyle name="20% - Accent2 5 3 2 2 3" xfId="31838" xr:uid="{00000000-0005-0000-0000-00005E7C0000}"/>
    <cellStyle name="20% - Accent2 5 3 2 3" xfId="370" xr:uid="{00000000-0005-0000-0000-000072010000}"/>
    <cellStyle name="20% - Accent2 5 3 2 3 2" xfId="31840" xr:uid="{00000000-0005-0000-0000-0000607C0000}"/>
    <cellStyle name="20% - Accent2 5 3 2 4" xfId="31837" xr:uid="{00000000-0005-0000-0000-00005D7C0000}"/>
    <cellStyle name="20% - Accent2 5 3 3" xfId="371" xr:uid="{00000000-0005-0000-0000-000073010000}"/>
    <cellStyle name="20% - Accent2 5 3 3 2" xfId="372" xr:uid="{00000000-0005-0000-0000-000074010000}"/>
    <cellStyle name="20% - Accent2 5 3 3 2 2" xfId="31842" xr:uid="{00000000-0005-0000-0000-0000627C0000}"/>
    <cellStyle name="20% - Accent2 5 3 3 3" xfId="31841" xr:uid="{00000000-0005-0000-0000-0000617C0000}"/>
    <cellStyle name="20% - Accent2 5 3 4" xfId="373" xr:uid="{00000000-0005-0000-0000-000075010000}"/>
    <cellStyle name="20% - Accent2 5 3 4 2" xfId="31843" xr:uid="{00000000-0005-0000-0000-0000637C0000}"/>
    <cellStyle name="20% - Accent2 5 3 5" xfId="31836" xr:uid="{00000000-0005-0000-0000-00005C7C0000}"/>
    <cellStyle name="20% - Accent2 5 4" xfId="374" xr:uid="{00000000-0005-0000-0000-000076010000}"/>
    <cellStyle name="20% - Accent2 5 4 2" xfId="375" xr:uid="{00000000-0005-0000-0000-000077010000}"/>
    <cellStyle name="20% - Accent2 5 4 2 2" xfId="31845" xr:uid="{00000000-0005-0000-0000-0000657C0000}"/>
    <cellStyle name="20% - Accent2 5 4 3" xfId="31844" xr:uid="{00000000-0005-0000-0000-0000647C0000}"/>
    <cellStyle name="20% - Accent2 5 5" xfId="376" xr:uid="{00000000-0005-0000-0000-000078010000}"/>
    <cellStyle name="20% - Accent2 5 5 2" xfId="31846" xr:uid="{00000000-0005-0000-0000-0000667C0000}"/>
    <cellStyle name="20% - Accent2 5 6" xfId="31831" xr:uid="{00000000-0005-0000-0000-0000577C0000}"/>
    <cellStyle name="20% - Accent2 6" xfId="377" xr:uid="{00000000-0005-0000-0000-000079010000}"/>
    <cellStyle name="20% - Accent2 6 2" xfId="378" xr:uid="{00000000-0005-0000-0000-00007A010000}"/>
    <cellStyle name="20% - Accent2 6 2 2" xfId="379" xr:uid="{00000000-0005-0000-0000-00007B010000}"/>
    <cellStyle name="20% - Accent2 6 2 2 2" xfId="380" xr:uid="{00000000-0005-0000-0000-00007C010000}"/>
    <cellStyle name="20% - Accent2 6 2 3" xfId="381" xr:uid="{00000000-0005-0000-0000-00007D010000}"/>
    <cellStyle name="20% - Accent2 6 3" xfId="382" xr:uid="{00000000-0005-0000-0000-00007E010000}"/>
    <cellStyle name="20% - Accent2 6 3 2" xfId="383" xr:uid="{00000000-0005-0000-0000-00007F010000}"/>
    <cellStyle name="20% - Accent2 6 4" xfId="384" xr:uid="{00000000-0005-0000-0000-000080010000}"/>
    <cellStyle name="20% - Accent2 7" xfId="385" xr:uid="{00000000-0005-0000-0000-000081010000}"/>
    <cellStyle name="20% - Accent2 8" xfId="386" xr:uid="{00000000-0005-0000-0000-000082010000}"/>
    <cellStyle name="20% - Accent3 2" xfId="387" xr:uid="{00000000-0005-0000-0000-000083010000}"/>
    <cellStyle name="20% - Accent3 2 10" xfId="388" xr:uid="{00000000-0005-0000-0000-000084010000}"/>
    <cellStyle name="20% - Accent3 2 10 2" xfId="389" xr:uid="{00000000-0005-0000-0000-000085010000}"/>
    <cellStyle name="20% - Accent3 2 10 2 2" xfId="31849" xr:uid="{00000000-0005-0000-0000-0000697C0000}"/>
    <cellStyle name="20% - Accent3 2 10 3" xfId="31848" xr:uid="{00000000-0005-0000-0000-0000687C0000}"/>
    <cellStyle name="20% - Accent3 2 11" xfId="390" xr:uid="{00000000-0005-0000-0000-000086010000}"/>
    <cellStyle name="20% - Accent3 2 11 2" xfId="31850" xr:uid="{00000000-0005-0000-0000-00006A7C0000}"/>
    <cellStyle name="20% - Accent3 2 12" xfId="31847" xr:uid="{00000000-0005-0000-0000-0000677C0000}"/>
    <cellStyle name="20% - Accent3 2 2" xfId="391" xr:uid="{00000000-0005-0000-0000-000087010000}"/>
    <cellStyle name="20% - Accent3 2 2 2" xfId="392" xr:uid="{00000000-0005-0000-0000-000088010000}"/>
    <cellStyle name="20% - Accent3 2 2 2 2" xfId="393" xr:uid="{00000000-0005-0000-0000-000089010000}"/>
    <cellStyle name="20% - Accent3 2 2 2 2 2" xfId="394" xr:uid="{00000000-0005-0000-0000-00008A010000}"/>
    <cellStyle name="20% - Accent3 2 2 2 3" xfId="395" xr:uid="{00000000-0005-0000-0000-00008B010000}"/>
    <cellStyle name="20% - Accent3 2 2 2 3 2" xfId="396" xr:uid="{00000000-0005-0000-0000-00008C010000}"/>
    <cellStyle name="20% - Accent3 2 2 2 3 2 2" xfId="397" xr:uid="{00000000-0005-0000-0000-00008D010000}"/>
    <cellStyle name="20% - Accent3 2 2 2 3 3" xfId="398" xr:uid="{00000000-0005-0000-0000-00008E010000}"/>
    <cellStyle name="20% - Accent3 2 2 2 4" xfId="399" xr:uid="{00000000-0005-0000-0000-00008F010000}"/>
    <cellStyle name="20% - Accent3 2 2 3" xfId="400" xr:uid="{00000000-0005-0000-0000-000090010000}"/>
    <cellStyle name="20% - Accent3 2 2 3 2" xfId="401" xr:uid="{00000000-0005-0000-0000-000091010000}"/>
    <cellStyle name="20% - Accent3 2 2 3 2 2" xfId="402" xr:uid="{00000000-0005-0000-0000-000092010000}"/>
    <cellStyle name="20% - Accent3 2 2 3 2 2 2" xfId="31854" xr:uid="{00000000-0005-0000-0000-00006E7C0000}"/>
    <cellStyle name="20% - Accent3 2 2 3 2 3" xfId="31853" xr:uid="{00000000-0005-0000-0000-00006D7C0000}"/>
    <cellStyle name="20% - Accent3 2 2 3 3" xfId="403" xr:uid="{00000000-0005-0000-0000-000093010000}"/>
    <cellStyle name="20% - Accent3 2 2 3 3 2" xfId="31855" xr:uid="{00000000-0005-0000-0000-00006F7C0000}"/>
    <cellStyle name="20% - Accent3 2 2 3 4" xfId="31852" xr:uid="{00000000-0005-0000-0000-00006C7C0000}"/>
    <cellStyle name="20% - Accent3 2 2 4" xfId="404" xr:uid="{00000000-0005-0000-0000-000094010000}"/>
    <cellStyle name="20% - Accent3 2 2 4 2" xfId="405" xr:uid="{00000000-0005-0000-0000-000095010000}"/>
    <cellStyle name="20% - Accent3 2 2 4 2 2" xfId="406" xr:uid="{00000000-0005-0000-0000-000096010000}"/>
    <cellStyle name="20% - Accent3 2 2 4 2 2 2" xfId="407" xr:uid="{00000000-0005-0000-0000-000097010000}"/>
    <cellStyle name="20% - Accent3 2 2 4 2 2 2 2" xfId="31859" xr:uid="{00000000-0005-0000-0000-0000737C0000}"/>
    <cellStyle name="20% - Accent3 2 2 4 2 2 3" xfId="31858" xr:uid="{00000000-0005-0000-0000-0000727C0000}"/>
    <cellStyle name="20% - Accent3 2 2 4 2 3" xfId="408" xr:uid="{00000000-0005-0000-0000-000098010000}"/>
    <cellStyle name="20% - Accent3 2 2 4 2 3 2" xfId="31860" xr:uid="{00000000-0005-0000-0000-0000747C0000}"/>
    <cellStyle name="20% - Accent3 2 2 4 2 4" xfId="31857" xr:uid="{00000000-0005-0000-0000-0000717C0000}"/>
    <cellStyle name="20% - Accent3 2 2 4 3" xfId="409" xr:uid="{00000000-0005-0000-0000-000099010000}"/>
    <cellStyle name="20% - Accent3 2 2 4 3 2" xfId="410" xr:uid="{00000000-0005-0000-0000-00009A010000}"/>
    <cellStyle name="20% - Accent3 2 2 4 3 2 2" xfId="31862" xr:uid="{00000000-0005-0000-0000-0000767C0000}"/>
    <cellStyle name="20% - Accent3 2 2 4 3 3" xfId="31861" xr:uid="{00000000-0005-0000-0000-0000757C0000}"/>
    <cellStyle name="20% - Accent3 2 2 4 4" xfId="411" xr:uid="{00000000-0005-0000-0000-00009B010000}"/>
    <cellStyle name="20% - Accent3 2 2 4 4 2" xfId="31863" xr:uid="{00000000-0005-0000-0000-0000777C0000}"/>
    <cellStyle name="20% - Accent3 2 2 4 5" xfId="31856" xr:uid="{00000000-0005-0000-0000-0000707C0000}"/>
    <cellStyle name="20% - Accent3 2 2 5" xfId="412" xr:uid="{00000000-0005-0000-0000-00009C010000}"/>
    <cellStyle name="20% - Accent3 2 2 5 2" xfId="413" xr:uid="{00000000-0005-0000-0000-00009D010000}"/>
    <cellStyle name="20% - Accent3 2 2 5 2 2" xfId="31865" xr:uid="{00000000-0005-0000-0000-0000797C0000}"/>
    <cellStyle name="20% - Accent3 2 2 5 3" xfId="31864" xr:uid="{00000000-0005-0000-0000-0000787C0000}"/>
    <cellStyle name="20% - Accent3 2 2 6" xfId="414" xr:uid="{00000000-0005-0000-0000-00009E010000}"/>
    <cellStyle name="20% - Accent3 2 2 6 2" xfId="31866" xr:uid="{00000000-0005-0000-0000-00007A7C0000}"/>
    <cellStyle name="20% - Accent3 2 2 7" xfId="31851" xr:uid="{00000000-0005-0000-0000-00006B7C0000}"/>
    <cellStyle name="20% - Accent3 2 3" xfId="415" xr:uid="{00000000-0005-0000-0000-00009F010000}"/>
    <cellStyle name="20% - Accent3 2 3 2" xfId="416" xr:uid="{00000000-0005-0000-0000-0000A0010000}"/>
    <cellStyle name="20% - Accent3 2 3 2 2" xfId="417" xr:uid="{00000000-0005-0000-0000-0000A1010000}"/>
    <cellStyle name="20% - Accent3 2 3 2 2 2" xfId="418" xr:uid="{00000000-0005-0000-0000-0000A2010000}"/>
    <cellStyle name="20% - Accent3 2 3 2 2 2 2" xfId="31870" xr:uid="{00000000-0005-0000-0000-00007E7C0000}"/>
    <cellStyle name="20% - Accent3 2 3 2 2 3" xfId="31869" xr:uid="{00000000-0005-0000-0000-00007D7C0000}"/>
    <cellStyle name="20% - Accent3 2 3 2 3" xfId="419" xr:uid="{00000000-0005-0000-0000-0000A3010000}"/>
    <cellStyle name="20% - Accent3 2 3 2 3 2" xfId="31871" xr:uid="{00000000-0005-0000-0000-00007F7C0000}"/>
    <cellStyle name="20% - Accent3 2 3 2 4" xfId="31868" xr:uid="{00000000-0005-0000-0000-00007C7C0000}"/>
    <cellStyle name="20% - Accent3 2 3 3" xfId="420" xr:uid="{00000000-0005-0000-0000-0000A4010000}"/>
    <cellStyle name="20% - Accent3 2 3 3 2" xfId="421" xr:uid="{00000000-0005-0000-0000-0000A5010000}"/>
    <cellStyle name="20% - Accent3 2 3 3 2 2" xfId="422" xr:uid="{00000000-0005-0000-0000-0000A6010000}"/>
    <cellStyle name="20% - Accent3 2 3 3 2 2 2" xfId="423" xr:uid="{00000000-0005-0000-0000-0000A7010000}"/>
    <cellStyle name="20% - Accent3 2 3 3 2 3" xfId="424" xr:uid="{00000000-0005-0000-0000-0000A8010000}"/>
    <cellStyle name="20% - Accent3 2 3 3 2 4" xfId="31873" xr:uid="{00000000-0005-0000-0000-0000817C0000}"/>
    <cellStyle name="20% - Accent3 2 3 3 3" xfId="425" xr:uid="{00000000-0005-0000-0000-0000A9010000}"/>
    <cellStyle name="20% - Accent3 2 3 3 3 2" xfId="426" xr:uid="{00000000-0005-0000-0000-0000AA010000}"/>
    <cellStyle name="20% - Accent3 2 3 3 4" xfId="427" xr:uid="{00000000-0005-0000-0000-0000AB010000}"/>
    <cellStyle name="20% - Accent3 2 3 3 5" xfId="31872" xr:uid="{00000000-0005-0000-0000-0000807C0000}"/>
    <cellStyle name="20% - Accent3 2 3 4" xfId="428" xr:uid="{00000000-0005-0000-0000-0000AC010000}"/>
    <cellStyle name="20% - Accent3 2 3 4 2" xfId="429" xr:uid="{00000000-0005-0000-0000-0000AD010000}"/>
    <cellStyle name="20% - Accent3 2 3 5" xfId="430" xr:uid="{00000000-0005-0000-0000-0000AE010000}"/>
    <cellStyle name="20% - Accent3 2 3 6" xfId="31867" xr:uid="{00000000-0005-0000-0000-00007B7C0000}"/>
    <cellStyle name="20% - Accent3 2 4" xfId="431" xr:uid="{00000000-0005-0000-0000-0000AF010000}"/>
    <cellStyle name="20% - Accent3 2 4 2" xfId="432" xr:uid="{00000000-0005-0000-0000-0000B0010000}"/>
    <cellStyle name="20% - Accent3 2 4 2 2" xfId="433" xr:uid="{00000000-0005-0000-0000-0000B1010000}"/>
    <cellStyle name="20% - Accent3 2 4 2 2 2" xfId="434" xr:uid="{00000000-0005-0000-0000-0000B2010000}"/>
    <cellStyle name="20% - Accent3 2 4 2 3" xfId="435" xr:uid="{00000000-0005-0000-0000-0000B3010000}"/>
    <cellStyle name="20% - Accent3 2 4 3" xfId="436" xr:uid="{00000000-0005-0000-0000-0000B4010000}"/>
    <cellStyle name="20% - Accent3 2 4 3 2" xfId="437" xr:uid="{00000000-0005-0000-0000-0000B5010000}"/>
    <cellStyle name="20% - Accent3 2 4 4" xfId="438" xr:uid="{00000000-0005-0000-0000-0000B6010000}"/>
    <cellStyle name="20% - Accent3 2 5" xfId="439" xr:uid="{00000000-0005-0000-0000-0000B7010000}"/>
    <cellStyle name="20% - Accent3 2 5 2" xfId="440" xr:uid="{00000000-0005-0000-0000-0000B8010000}"/>
    <cellStyle name="20% - Accent3 2 5 2 2" xfId="441" xr:uid="{00000000-0005-0000-0000-0000B9010000}"/>
    <cellStyle name="20% - Accent3 2 5 2 2 2" xfId="442" xr:uid="{00000000-0005-0000-0000-0000BA010000}"/>
    <cellStyle name="20% - Accent3 2 5 2 3" xfId="443" xr:uid="{00000000-0005-0000-0000-0000BB010000}"/>
    <cellStyle name="20% - Accent3 2 5 3" xfId="444" xr:uid="{00000000-0005-0000-0000-0000BC010000}"/>
    <cellStyle name="20% - Accent3 2 5 3 2" xfId="445" xr:uid="{00000000-0005-0000-0000-0000BD010000}"/>
    <cellStyle name="20% - Accent3 2 5 3 2 2" xfId="446" xr:uid="{00000000-0005-0000-0000-0000BE010000}"/>
    <cellStyle name="20% - Accent3 2 5 3 2 2 2" xfId="447" xr:uid="{00000000-0005-0000-0000-0000BF010000}"/>
    <cellStyle name="20% - Accent3 2 5 3 2 3" xfId="448" xr:uid="{00000000-0005-0000-0000-0000C0010000}"/>
    <cellStyle name="20% - Accent3 2 5 3 3" xfId="449" xr:uid="{00000000-0005-0000-0000-0000C1010000}"/>
    <cellStyle name="20% - Accent3 2 5 3 3 2" xfId="450" xr:uid="{00000000-0005-0000-0000-0000C2010000}"/>
    <cellStyle name="20% - Accent3 2 5 3 4" xfId="451" xr:uid="{00000000-0005-0000-0000-0000C3010000}"/>
    <cellStyle name="20% - Accent3 2 5 4" xfId="452" xr:uid="{00000000-0005-0000-0000-0000C4010000}"/>
    <cellStyle name="20% - Accent3 2 5 4 2" xfId="453" xr:uid="{00000000-0005-0000-0000-0000C5010000}"/>
    <cellStyle name="20% - Accent3 2 5 5" xfId="454" xr:uid="{00000000-0005-0000-0000-0000C6010000}"/>
    <cellStyle name="20% - Accent3 2 6" xfId="455" xr:uid="{00000000-0005-0000-0000-0000C7010000}"/>
    <cellStyle name="20% - Accent3 2 6 2" xfId="456" xr:uid="{00000000-0005-0000-0000-0000C8010000}"/>
    <cellStyle name="20% - Accent3 2 6 2 2" xfId="457" xr:uid="{00000000-0005-0000-0000-0000C9010000}"/>
    <cellStyle name="20% - Accent3 2 6 3" xfId="458" xr:uid="{00000000-0005-0000-0000-0000CA010000}"/>
    <cellStyle name="20% - Accent3 2 7" xfId="459" xr:uid="{00000000-0005-0000-0000-0000CB010000}"/>
    <cellStyle name="20% - Accent3 2 7 2" xfId="460" xr:uid="{00000000-0005-0000-0000-0000CC010000}"/>
    <cellStyle name="20% - Accent3 2 7 2 2" xfId="461" xr:uid="{00000000-0005-0000-0000-0000CD010000}"/>
    <cellStyle name="20% - Accent3 2 7 3" xfId="462" xr:uid="{00000000-0005-0000-0000-0000CE010000}"/>
    <cellStyle name="20% - Accent3 2 8" xfId="463" xr:uid="{00000000-0005-0000-0000-0000CF010000}"/>
    <cellStyle name="20% - Accent3 2 8 2" xfId="464" xr:uid="{00000000-0005-0000-0000-0000D0010000}"/>
    <cellStyle name="20% - Accent3 2 8 2 2" xfId="465" xr:uid="{00000000-0005-0000-0000-0000D1010000}"/>
    <cellStyle name="20% - Accent3 2 8 2 2 2" xfId="466" xr:uid="{00000000-0005-0000-0000-0000D2010000}"/>
    <cellStyle name="20% - Accent3 2 8 2 3" xfId="467" xr:uid="{00000000-0005-0000-0000-0000D3010000}"/>
    <cellStyle name="20% - Accent3 2 8 3" xfId="468" xr:uid="{00000000-0005-0000-0000-0000D4010000}"/>
    <cellStyle name="20% - Accent3 2 8 3 2" xfId="469" xr:uid="{00000000-0005-0000-0000-0000D5010000}"/>
    <cellStyle name="20% - Accent3 2 8 4" xfId="470" xr:uid="{00000000-0005-0000-0000-0000D6010000}"/>
    <cellStyle name="20% - Accent3 2 9" xfId="471" xr:uid="{00000000-0005-0000-0000-0000D7010000}"/>
    <cellStyle name="20% - Accent3 2 9 2" xfId="472" xr:uid="{00000000-0005-0000-0000-0000D8010000}"/>
    <cellStyle name="20% - Accent3 3" xfId="473" xr:uid="{00000000-0005-0000-0000-0000D9010000}"/>
    <cellStyle name="20% - Accent3 3 2" xfId="474" xr:uid="{00000000-0005-0000-0000-0000DA010000}"/>
    <cellStyle name="20% - Accent3 3 2 2" xfId="475" xr:uid="{00000000-0005-0000-0000-0000DB010000}"/>
    <cellStyle name="20% - Accent3 3 2 2 2" xfId="476" xr:uid="{00000000-0005-0000-0000-0000DC010000}"/>
    <cellStyle name="20% - Accent3 3 2 3" xfId="477" xr:uid="{00000000-0005-0000-0000-0000DD010000}"/>
    <cellStyle name="20% - Accent3 3 3" xfId="478" xr:uid="{00000000-0005-0000-0000-0000DE010000}"/>
    <cellStyle name="20% - Accent3 3 3 2" xfId="479" xr:uid="{00000000-0005-0000-0000-0000DF010000}"/>
    <cellStyle name="20% - Accent3 3 4" xfId="480" xr:uid="{00000000-0005-0000-0000-0000E0010000}"/>
    <cellStyle name="20% - Accent3 3 4 2" xfId="481" xr:uid="{00000000-0005-0000-0000-0000E1010000}"/>
    <cellStyle name="20% - Accent3 3 4 2 2" xfId="482" xr:uid="{00000000-0005-0000-0000-0000E2010000}"/>
    <cellStyle name="20% - Accent3 3 4 3" xfId="483" xr:uid="{00000000-0005-0000-0000-0000E3010000}"/>
    <cellStyle name="20% - Accent3 3 5" xfId="484" xr:uid="{00000000-0005-0000-0000-0000E4010000}"/>
    <cellStyle name="20% - Accent3 4" xfId="485" xr:uid="{00000000-0005-0000-0000-0000E5010000}"/>
    <cellStyle name="20% - Accent3 4 2" xfId="486" xr:uid="{00000000-0005-0000-0000-0000E6010000}"/>
    <cellStyle name="20% - Accent3 4 2 2" xfId="487" xr:uid="{00000000-0005-0000-0000-0000E7010000}"/>
    <cellStyle name="20% - Accent3 4 3" xfId="488" xr:uid="{00000000-0005-0000-0000-0000E8010000}"/>
    <cellStyle name="20% - Accent3 4 3 2" xfId="489" xr:uid="{00000000-0005-0000-0000-0000E9010000}"/>
    <cellStyle name="20% - Accent3 4 3 2 2" xfId="490" xr:uid="{00000000-0005-0000-0000-0000EA010000}"/>
    <cellStyle name="20% - Accent3 4 3 3" xfId="491" xr:uid="{00000000-0005-0000-0000-0000EB010000}"/>
    <cellStyle name="20% - Accent3 4 4" xfId="492" xr:uid="{00000000-0005-0000-0000-0000EC010000}"/>
    <cellStyle name="20% - Accent3 5" xfId="493" xr:uid="{00000000-0005-0000-0000-0000ED010000}"/>
    <cellStyle name="20% - Accent3 5 2" xfId="494" xr:uid="{00000000-0005-0000-0000-0000EE010000}"/>
    <cellStyle name="20% - Accent3 5 2 2" xfId="495" xr:uid="{00000000-0005-0000-0000-0000EF010000}"/>
    <cellStyle name="20% - Accent3 5 2 2 2" xfId="496" xr:uid="{00000000-0005-0000-0000-0000F0010000}"/>
    <cellStyle name="20% - Accent3 5 2 3" xfId="497" xr:uid="{00000000-0005-0000-0000-0000F1010000}"/>
    <cellStyle name="20% - Accent3 5 3" xfId="498" xr:uid="{00000000-0005-0000-0000-0000F2010000}"/>
    <cellStyle name="20% - Accent3 5 3 2" xfId="499" xr:uid="{00000000-0005-0000-0000-0000F3010000}"/>
    <cellStyle name="20% - Accent3 5 3 2 2" xfId="500" xr:uid="{00000000-0005-0000-0000-0000F4010000}"/>
    <cellStyle name="20% - Accent3 5 3 2 2 2" xfId="501" xr:uid="{00000000-0005-0000-0000-0000F5010000}"/>
    <cellStyle name="20% - Accent3 5 3 2 3" xfId="502" xr:uid="{00000000-0005-0000-0000-0000F6010000}"/>
    <cellStyle name="20% - Accent3 5 3 3" xfId="503" xr:uid="{00000000-0005-0000-0000-0000F7010000}"/>
    <cellStyle name="20% - Accent3 5 3 3 2" xfId="504" xr:uid="{00000000-0005-0000-0000-0000F8010000}"/>
    <cellStyle name="20% - Accent3 5 3 4" xfId="505" xr:uid="{00000000-0005-0000-0000-0000F9010000}"/>
    <cellStyle name="20% - Accent3 5 4" xfId="506" xr:uid="{00000000-0005-0000-0000-0000FA010000}"/>
    <cellStyle name="20% - Accent3 5 4 2" xfId="507" xr:uid="{00000000-0005-0000-0000-0000FB010000}"/>
    <cellStyle name="20% - Accent3 5 5" xfId="508" xr:uid="{00000000-0005-0000-0000-0000FC010000}"/>
    <cellStyle name="20% - Accent3 6" xfId="509" xr:uid="{00000000-0005-0000-0000-0000FD010000}"/>
    <cellStyle name="20% - Accent3 6 2" xfId="510" xr:uid="{00000000-0005-0000-0000-0000FE010000}"/>
    <cellStyle name="20% - Accent3 6 2 2" xfId="511" xr:uid="{00000000-0005-0000-0000-0000FF010000}"/>
    <cellStyle name="20% - Accent3 6 2 2 2" xfId="512" xr:uid="{00000000-0005-0000-0000-000000020000}"/>
    <cellStyle name="20% - Accent3 6 2 3" xfId="513" xr:uid="{00000000-0005-0000-0000-000001020000}"/>
    <cellStyle name="20% - Accent3 6 3" xfId="514" xr:uid="{00000000-0005-0000-0000-000002020000}"/>
    <cellStyle name="20% - Accent3 6 3 2" xfId="515" xr:uid="{00000000-0005-0000-0000-000003020000}"/>
    <cellStyle name="20% - Accent3 6 4" xfId="516" xr:uid="{00000000-0005-0000-0000-000004020000}"/>
    <cellStyle name="20% - Accent3 7" xfId="517" xr:uid="{00000000-0005-0000-0000-000005020000}"/>
    <cellStyle name="20% - Accent3 8" xfId="518" xr:uid="{00000000-0005-0000-0000-000006020000}"/>
    <cellStyle name="20% - Accent4 2" xfId="519" xr:uid="{00000000-0005-0000-0000-000007020000}"/>
    <cellStyle name="20% - Accent4 2 10" xfId="520" xr:uid="{00000000-0005-0000-0000-000008020000}"/>
    <cellStyle name="20% - Accent4 2 10 2" xfId="521" xr:uid="{00000000-0005-0000-0000-000009020000}"/>
    <cellStyle name="20% - Accent4 2 11" xfId="522" xr:uid="{00000000-0005-0000-0000-00000A020000}"/>
    <cellStyle name="20% - Accent4 2 2" xfId="523" xr:uid="{00000000-0005-0000-0000-00000B020000}"/>
    <cellStyle name="20% - Accent4 2 2 2" xfId="524" xr:uid="{00000000-0005-0000-0000-00000C020000}"/>
    <cellStyle name="20% - Accent4 2 2 2 2" xfId="525" xr:uid="{00000000-0005-0000-0000-00000D020000}"/>
    <cellStyle name="20% - Accent4 2 2 2 2 2" xfId="526" xr:uid="{00000000-0005-0000-0000-00000E020000}"/>
    <cellStyle name="20% - Accent4 2 2 2 3" xfId="527" xr:uid="{00000000-0005-0000-0000-00000F020000}"/>
    <cellStyle name="20% - Accent4 2 2 2 3 2" xfId="528" xr:uid="{00000000-0005-0000-0000-000010020000}"/>
    <cellStyle name="20% - Accent4 2 2 2 3 2 2" xfId="529" xr:uid="{00000000-0005-0000-0000-000011020000}"/>
    <cellStyle name="20% - Accent4 2 2 2 3 3" xfId="530" xr:uid="{00000000-0005-0000-0000-000012020000}"/>
    <cellStyle name="20% - Accent4 2 2 2 4" xfId="531" xr:uid="{00000000-0005-0000-0000-000013020000}"/>
    <cellStyle name="20% - Accent4 2 2 3" xfId="532" xr:uid="{00000000-0005-0000-0000-000014020000}"/>
    <cellStyle name="20% - Accent4 2 2 3 2" xfId="533" xr:uid="{00000000-0005-0000-0000-000015020000}"/>
    <cellStyle name="20% - Accent4 2 2 3 2 2" xfId="534" xr:uid="{00000000-0005-0000-0000-000016020000}"/>
    <cellStyle name="20% - Accent4 2 2 3 3" xfId="535" xr:uid="{00000000-0005-0000-0000-000017020000}"/>
    <cellStyle name="20% - Accent4 2 2 4" xfId="536" xr:uid="{00000000-0005-0000-0000-000018020000}"/>
    <cellStyle name="20% - Accent4 2 2 4 2" xfId="537" xr:uid="{00000000-0005-0000-0000-000019020000}"/>
    <cellStyle name="20% - Accent4 2 2 4 2 2" xfId="538" xr:uid="{00000000-0005-0000-0000-00001A020000}"/>
    <cellStyle name="20% - Accent4 2 2 4 2 2 2" xfId="539" xr:uid="{00000000-0005-0000-0000-00001B020000}"/>
    <cellStyle name="20% - Accent4 2 2 4 2 3" xfId="540" xr:uid="{00000000-0005-0000-0000-00001C020000}"/>
    <cellStyle name="20% - Accent4 2 2 4 3" xfId="541" xr:uid="{00000000-0005-0000-0000-00001D020000}"/>
    <cellStyle name="20% - Accent4 2 2 4 3 2" xfId="542" xr:uid="{00000000-0005-0000-0000-00001E020000}"/>
    <cellStyle name="20% - Accent4 2 2 4 4" xfId="543" xr:uid="{00000000-0005-0000-0000-00001F020000}"/>
    <cellStyle name="20% - Accent4 2 2 5" xfId="544" xr:uid="{00000000-0005-0000-0000-000020020000}"/>
    <cellStyle name="20% - Accent4 2 2 5 2" xfId="545" xr:uid="{00000000-0005-0000-0000-000021020000}"/>
    <cellStyle name="20% - Accent4 2 2 6" xfId="546" xr:uid="{00000000-0005-0000-0000-000022020000}"/>
    <cellStyle name="20% - Accent4 2 3" xfId="547" xr:uid="{00000000-0005-0000-0000-000023020000}"/>
    <cellStyle name="20% - Accent4 2 3 2" xfId="548" xr:uid="{00000000-0005-0000-0000-000024020000}"/>
    <cellStyle name="20% - Accent4 2 3 2 2" xfId="549" xr:uid="{00000000-0005-0000-0000-000025020000}"/>
    <cellStyle name="20% - Accent4 2 3 2 2 2" xfId="550" xr:uid="{00000000-0005-0000-0000-000026020000}"/>
    <cellStyle name="20% - Accent4 2 3 2 3" xfId="551" xr:uid="{00000000-0005-0000-0000-000027020000}"/>
    <cellStyle name="20% - Accent4 2 3 3" xfId="552" xr:uid="{00000000-0005-0000-0000-000028020000}"/>
    <cellStyle name="20% - Accent4 2 3 3 2" xfId="553" xr:uid="{00000000-0005-0000-0000-000029020000}"/>
    <cellStyle name="20% - Accent4 2 3 3 2 2" xfId="554" xr:uid="{00000000-0005-0000-0000-00002A020000}"/>
    <cellStyle name="20% - Accent4 2 3 3 2 2 2" xfId="555" xr:uid="{00000000-0005-0000-0000-00002B020000}"/>
    <cellStyle name="20% - Accent4 2 3 3 2 3" xfId="556" xr:uid="{00000000-0005-0000-0000-00002C020000}"/>
    <cellStyle name="20% - Accent4 2 3 3 3" xfId="557" xr:uid="{00000000-0005-0000-0000-00002D020000}"/>
    <cellStyle name="20% - Accent4 2 3 3 3 2" xfId="558" xr:uid="{00000000-0005-0000-0000-00002E020000}"/>
    <cellStyle name="20% - Accent4 2 3 3 4" xfId="559" xr:uid="{00000000-0005-0000-0000-00002F020000}"/>
    <cellStyle name="20% - Accent4 2 3 4" xfId="560" xr:uid="{00000000-0005-0000-0000-000030020000}"/>
    <cellStyle name="20% - Accent4 2 3 4 2" xfId="561" xr:uid="{00000000-0005-0000-0000-000031020000}"/>
    <cellStyle name="20% - Accent4 2 3 5" xfId="562" xr:uid="{00000000-0005-0000-0000-000032020000}"/>
    <cellStyle name="20% - Accent4 2 4" xfId="563" xr:uid="{00000000-0005-0000-0000-000033020000}"/>
    <cellStyle name="20% - Accent4 2 4 2" xfId="564" xr:uid="{00000000-0005-0000-0000-000034020000}"/>
    <cellStyle name="20% - Accent4 2 4 2 2" xfId="565" xr:uid="{00000000-0005-0000-0000-000035020000}"/>
    <cellStyle name="20% - Accent4 2 4 2 2 2" xfId="566" xr:uid="{00000000-0005-0000-0000-000036020000}"/>
    <cellStyle name="20% - Accent4 2 4 2 3" xfId="567" xr:uid="{00000000-0005-0000-0000-000037020000}"/>
    <cellStyle name="20% - Accent4 2 4 3" xfId="568" xr:uid="{00000000-0005-0000-0000-000038020000}"/>
    <cellStyle name="20% - Accent4 2 4 3 2" xfId="569" xr:uid="{00000000-0005-0000-0000-000039020000}"/>
    <cellStyle name="20% - Accent4 2 4 4" xfId="570" xr:uid="{00000000-0005-0000-0000-00003A020000}"/>
    <cellStyle name="20% - Accent4 2 5" xfId="571" xr:uid="{00000000-0005-0000-0000-00003B020000}"/>
    <cellStyle name="20% - Accent4 2 5 2" xfId="572" xr:uid="{00000000-0005-0000-0000-00003C020000}"/>
    <cellStyle name="20% - Accent4 2 5 2 2" xfId="573" xr:uid="{00000000-0005-0000-0000-00003D020000}"/>
    <cellStyle name="20% - Accent4 2 5 2 2 2" xfId="574" xr:uid="{00000000-0005-0000-0000-00003E020000}"/>
    <cellStyle name="20% - Accent4 2 5 2 3" xfId="575" xr:uid="{00000000-0005-0000-0000-00003F020000}"/>
    <cellStyle name="20% - Accent4 2 5 3" xfId="576" xr:uid="{00000000-0005-0000-0000-000040020000}"/>
    <cellStyle name="20% - Accent4 2 5 3 2" xfId="577" xr:uid="{00000000-0005-0000-0000-000041020000}"/>
    <cellStyle name="20% - Accent4 2 5 3 2 2" xfId="578" xr:uid="{00000000-0005-0000-0000-000042020000}"/>
    <cellStyle name="20% - Accent4 2 5 3 2 2 2" xfId="579" xr:uid="{00000000-0005-0000-0000-000043020000}"/>
    <cellStyle name="20% - Accent4 2 5 3 2 3" xfId="580" xr:uid="{00000000-0005-0000-0000-000044020000}"/>
    <cellStyle name="20% - Accent4 2 5 3 3" xfId="581" xr:uid="{00000000-0005-0000-0000-000045020000}"/>
    <cellStyle name="20% - Accent4 2 5 3 3 2" xfId="582" xr:uid="{00000000-0005-0000-0000-000046020000}"/>
    <cellStyle name="20% - Accent4 2 5 3 4" xfId="583" xr:uid="{00000000-0005-0000-0000-000047020000}"/>
    <cellStyle name="20% - Accent4 2 5 4" xfId="584" xr:uid="{00000000-0005-0000-0000-000048020000}"/>
    <cellStyle name="20% - Accent4 2 5 4 2" xfId="585" xr:uid="{00000000-0005-0000-0000-000049020000}"/>
    <cellStyle name="20% - Accent4 2 5 5" xfId="586" xr:uid="{00000000-0005-0000-0000-00004A020000}"/>
    <cellStyle name="20% - Accent4 2 6" xfId="587" xr:uid="{00000000-0005-0000-0000-00004B020000}"/>
    <cellStyle name="20% - Accent4 2 6 2" xfId="588" xr:uid="{00000000-0005-0000-0000-00004C020000}"/>
    <cellStyle name="20% - Accent4 2 6 2 2" xfId="589" xr:uid="{00000000-0005-0000-0000-00004D020000}"/>
    <cellStyle name="20% - Accent4 2 6 3" xfId="590" xr:uid="{00000000-0005-0000-0000-00004E020000}"/>
    <cellStyle name="20% - Accent4 2 7" xfId="591" xr:uid="{00000000-0005-0000-0000-00004F020000}"/>
    <cellStyle name="20% - Accent4 2 7 2" xfId="592" xr:uid="{00000000-0005-0000-0000-000050020000}"/>
    <cellStyle name="20% - Accent4 2 7 2 2" xfId="593" xr:uid="{00000000-0005-0000-0000-000051020000}"/>
    <cellStyle name="20% - Accent4 2 7 3" xfId="594" xr:uid="{00000000-0005-0000-0000-000052020000}"/>
    <cellStyle name="20% - Accent4 2 8" xfId="595" xr:uid="{00000000-0005-0000-0000-000053020000}"/>
    <cellStyle name="20% - Accent4 2 8 2" xfId="596" xr:uid="{00000000-0005-0000-0000-000054020000}"/>
    <cellStyle name="20% - Accent4 2 8 2 2" xfId="597" xr:uid="{00000000-0005-0000-0000-000055020000}"/>
    <cellStyle name="20% - Accent4 2 8 2 2 2" xfId="598" xr:uid="{00000000-0005-0000-0000-000056020000}"/>
    <cellStyle name="20% - Accent4 2 8 2 3" xfId="599" xr:uid="{00000000-0005-0000-0000-000057020000}"/>
    <cellStyle name="20% - Accent4 2 8 3" xfId="600" xr:uid="{00000000-0005-0000-0000-000058020000}"/>
    <cellStyle name="20% - Accent4 2 8 3 2" xfId="601" xr:uid="{00000000-0005-0000-0000-000059020000}"/>
    <cellStyle name="20% - Accent4 2 8 4" xfId="602" xr:uid="{00000000-0005-0000-0000-00005A020000}"/>
    <cellStyle name="20% - Accent4 2 9" xfId="603" xr:uid="{00000000-0005-0000-0000-00005B020000}"/>
    <cellStyle name="20% - Accent4 2 9 2" xfId="604" xr:uid="{00000000-0005-0000-0000-00005C020000}"/>
    <cellStyle name="20% - Accent4 3" xfId="605" xr:uid="{00000000-0005-0000-0000-00005D020000}"/>
    <cellStyle name="20% - Accent4 3 2" xfId="606" xr:uid="{00000000-0005-0000-0000-00005E020000}"/>
    <cellStyle name="20% - Accent4 3 2 2" xfId="607" xr:uid="{00000000-0005-0000-0000-00005F020000}"/>
    <cellStyle name="20% - Accent4 3 2 2 2" xfId="608" xr:uid="{00000000-0005-0000-0000-000060020000}"/>
    <cellStyle name="20% - Accent4 3 2 3" xfId="609" xr:uid="{00000000-0005-0000-0000-000061020000}"/>
    <cellStyle name="20% - Accent4 3 3" xfId="610" xr:uid="{00000000-0005-0000-0000-000062020000}"/>
    <cellStyle name="20% - Accent4 3 3 2" xfId="611" xr:uid="{00000000-0005-0000-0000-000063020000}"/>
    <cellStyle name="20% - Accent4 3 4" xfId="612" xr:uid="{00000000-0005-0000-0000-000064020000}"/>
    <cellStyle name="20% - Accent4 3 4 2" xfId="613" xr:uid="{00000000-0005-0000-0000-000065020000}"/>
    <cellStyle name="20% - Accent4 3 4 2 2" xfId="614" xr:uid="{00000000-0005-0000-0000-000066020000}"/>
    <cellStyle name="20% - Accent4 3 4 3" xfId="615" xr:uid="{00000000-0005-0000-0000-000067020000}"/>
    <cellStyle name="20% - Accent4 3 5" xfId="616" xr:uid="{00000000-0005-0000-0000-000068020000}"/>
    <cellStyle name="20% - Accent4 4" xfId="617" xr:uid="{00000000-0005-0000-0000-000069020000}"/>
    <cellStyle name="20% - Accent4 4 2" xfId="618" xr:uid="{00000000-0005-0000-0000-00006A020000}"/>
    <cellStyle name="20% - Accent4 4 2 2" xfId="619" xr:uid="{00000000-0005-0000-0000-00006B020000}"/>
    <cellStyle name="20% - Accent4 4 3" xfId="620" xr:uid="{00000000-0005-0000-0000-00006C020000}"/>
    <cellStyle name="20% - Accent4 4 3 2" xfId="621" xr:uid="{00000000-0005-0000-0000-00006D020000}"/>
    <cellStyle name="20% - Accent4 4 3 2 2" xfId="622" xr:uid="{00000000-0005-0000-0000-00006E020000}"/>
    <cellStyle name="20% - Accent4 4 3 3" xfId="623" xr:uid="{00000000-0005-0000-0000-00006F020000}"/>
    <cellStyle name="20% - Accent4 4 4" xfId="624" xr:uid="{00000000-0005-0000-0000-000070020000}"/>
    <cellStyle name="20% - Accent4 5" xfId="625" xr:uid="{00000000-0005-0000-0000-000071020000}"/>
    <cellStyle name="20% - Accent4 5 2" xfId="626" xr:uid="{00000000-0005-0000-0000-000072020000}"/>
    <cellStyle name="20% - Accent4 5 2 2" xfId="627" xr:uid="{00000000-0005-0000-0000-000073020000}"/>
    <cellStyle name="20% - Accent4 5 2 2 2" xfId="628" xr:uid="{00000000-0005-0000-0000-000074020000}"/>
    <cellStyle name="20% - Accent4 5 2 3" xfId="629" xr:uid="{00000000-0005-0000-0000-000075020000}"/>
    <cellStyle name="20% - Accent4 5 3" xfId="630" xr:uid="{00000000-0005-0000-0000-000076020000}"/>
    <cellStyle name="20% - Accent4 5 3 2" xfId="631" xr:uid="{00000000-0005-0000-0000-000077020000}"/>
    <cellStyle name="20% - Accent4 5 3 2 2" xfId="632" xr:uid="{00000000-0005-0000-0000-000078020000}"/>
    <cellStyle name="20% - Accent4 5 3 2 2 2" xfId="633" xr:uid="{00000000-0005-0000-0000-000079020000}"/>
    <cellStyle name="20% - Accent4 5 3 2 3" xfId="634" xr:uid="{00000000-0005-0000-0000-00007A020000}"/>
    <cellStyle name="20% - Accent4 5 3 3" xfId="635" xr:uid="{00000000-0005-0000-0000-00007B020000}"/>
    <cellStyle name="20% - Accent4 5 3 3 2" xfId="636" xr:uid="{00000000-0005-0000-0000-00007C020000}"/>
    <cellStyle name="20% - Accent4 5 3 4" xfId="637" xr:uid="{00000000-0005-0000-0000-00007D020000}"/>
    <cellStyle name="20% - Accent4 5 4" xfId="638" xr:uid="{00000000-0005-0000-0000-00007E020000}"/>
    <cellStyle name="20% - Accent4 5 4 2" xfId="639" xr:uid="{00000000-0005-0000-0000-00007F020000}"/>
    <cellStyle name="20% - Accent4 5 5" xfId="640" xr:uid="{00000000-0005-0000-0000-000080020000}"/>
    <cellStyle name="20% - Accent4 6" xfId="641" xr:uid="{00000000-0005-0000-0000-000081020000}"/>
    <cellStyle name="20% - Accent4 6 2" xfId="642" xr:uid="{00000000-0005-0000-0000-000082020000}"/>
    <cellStyle name="20% - Accent4 6 2 2" xfId="643" xr:uid="{00000000-0005-0000-0000-000083020000}"/>
    <cellStyle name="20% - Accent4 6 2 2 2" xfId="644" xr:uid="{00000000-0005-0000-0000-000084020000}"/>
    <cellStyle name="20% - Accent4 6 2 3" xfId="645" xr:uid="{00000000-0005-0000-0000-000085020000}"/>
    <cellStyle name="20% - Accent4 6 3" xfId="646" xr:uid="{00000000-0005-0000-0000-000086020000}"/>
    <cellStyle name="20% - Accent4 6 3 2" xfId="647" xr:uid="{00000000-0005-0000-0000-000087020000}"/>
    <cellStyle name="20% - Accent4 6 4" xfId="648" xr:uid="{00000000-0005-0000-0000-000088020000}"/>
    <cellStyle name="20% - Accent4 7" xfId="649" xr:uid="{00000000-0005-0000-0000-000089020000}"/>
    <cellStyle name="20% - Accent4 8" xfId="650" xr:uid="{00000000-0005-0000-0000-00008A020000}"/>
    <cellStyle name="20% - Accent5 2" xfId="651" xr:uid="{00000000-0005-0000-0000-00008B020000}"/>
    <cellStyle name="20% - Accent5 2 10" xfId="652" xr:uid="{00000000-0005-0000-0000-00008C020000}"/>
    <cellStyle name="20% - Accent5 2 10 2" xfId="653" xr:uid="{00000000-0005-0000-0000-00008D020000}"/>
    <cellStyle name="20% - Accent5 2 11" xfId="654" xr:uid="{00000000-0005-0000-0000-00008E020000}"/>
    <cellStyle name="20% - Accent5 2 2" xfId="655" xr:uid="{00000000-0005-0000-0000-00008F020000}"/>
    <cellStyle name="20% - Accent5 2 2 2" xfId="656" xr:uid="{00000000-0005-0000-0000-000090020000}"/>
    <cellStyle name="20% - Accent5 2 2 2 2" xfId="657" xr:uid="{00000000-0005-0000-0000-000091020000}"/>
    <cellStyle name="20% - Accent5 2 2 2 2 2" xfId="658" xr:uid="{00000000-0005-0000-0000-000092020000}"/>
    <cellStyle name="20% - Accent5 2 2 2 3" xfId="659" xr:uid="{00000000-0005-0000-0000-000093020000}"/>
    <cellStyle name="20% - Accent5 2 2 2 3 2" xfId="660" xr:uid="{00000000-0005-0000-0000-000094020000}"/>
    <cellStyle name="20% - Accent5 2 2 2 3 2 2" xfId="661" xr:uid="{00000000-0005-0000-0000-000095020000}"/>
    <cellStyle name="20% - Accent5 2 2 2 3 3" xfId="662" xr:uid="{00000000-0005-0000-0000-000096020000}"/>
    <cellStyle name="20% - Accent5 2 2 2 4" xfId="663" xr:uid="{00000000-0005-0000-0000-000097020000}"/>
    <cellStyle name="20% - Accent5 2 2 3" xfId="664" xr:uid="{00000000-0005-0000-0000-000098020000}"/>
    <cellStyle name="20% - Accent5 2 2 3 2" xfId="665" xr:uid="{00000000-0005-0000-0000-000099020000}"/>
    <cellStyle name="20% - Accent5 2 2 3 2 2" xfId="666" xr:uid="{00000000-0005-0000-0000-00009A020000}"/>
    <cellStyle name="20% - Accent5 2 2 3 3" xfId="667" xr:uid="{00000000-0005-0000-0000-00009B020000}"/>
    <cellStyle name="20% - Accent5 2 2 4" xfId="668" xr:uid="{00000000-0005-0000-0000-00009C020000}"/>
    <cellStyle name="20% - Accent5 2 2 4 2" xfId="669" xr:uid="{00000000-0005-0000-0000-00009D020000}"/>
    <cellStyle name="20% - Accent5 2 2 4 2 2" xfId="670" xr:uid="{00000000-0005-0000-0000-00009E020000}"/>
    <cellStyle name="20% - Accent5 2 2 4 2 2 2" xfId="671" xr:uid="{00000000-0005-0000-0000-00009F020000}"/>
    <cellStyle name="20% - Accent5 2 2 4 2 3" xfId="672" xr:uid="{00000000-0005-0000-0000-0000A0020000}"/>
    <cellStyle name="20% - Accent5 2 2 4 3" xfId="673" xr:uid="{00000000-0005-0000-0000-0000A1020000}"/>
    <cellStyle name="20% - Accent5 2 2 4 3 2" xfId="674" xr:uid="{00000000-0005-0000-0000-0000A2020000}"/>
    <cellStyle name="20% - Accent5 2 2 4 4" xfId="675" xr:uid="{00000000-0005-0000-0000-0000A3020000}"/>
    <cellStyle name="20% - Accent5 2 2 5" xfId="676" xr:uid="{00000000-0005-0000-0000-0000A4020000}"/>
    <cellStyle name="20% - Accent5 2 2 5 2" xfId="677" xr:uid="{00000000-0005-0000-0000-0000A5020000}"/>
    <cellStyle name="20% - Accent5 2 2 6" xfId="678" xr:uid="{00000000-0005-0000-0000-0000A6020000}"/>
    <cellStyle name="20% - Accent5 2 3" xfId="679" xr:uid="{00000000-0005-0000-0000-0000A7020000}"/>
    <cellStyle name="20% - Accent5 2 3 2" xfId="680" xr:uid="{00000000-0005-0000-0000-0000A8020000}"/>
    <cellStyle name="20% - Accent5 2 3 2 2" xfId="681" xr:uid="{00000000-0005-0000-0000-0000A9020000}"/>
    <cellStyle name="20% - Accent5 2 3 2 2 2" xfId="682" xr:uid="{00000000-0005-0000-0000-0000AA020000}"/>
    <cellStyle name="20% - Accent5 2 3 2 3" xfId="683" xr:uid="{00000000-0005-0000-0000-0000AB020000}"/>
    <cellStyle name="20% - Accent5 2 3 3" xfId="684" xr:uid="{00000000-0005-0000-0000-0000AC020000}"/>
    <cellStyle name="20% - Accent5 2 3 3 2" xfId="685" xr:uid="{00000000-0005-0000-0000-0000AD020000}"/>
    <cellStyle name="20% - Accent5 2 3 3 2 2" xfId="686" xr:uid="{00000000-0005-0000-0000-0000AE020000}"/>
    <cellStyle name="20% - Accent5 2 3 3 2 2 2" xfId="687" xr:uid="{00000000-0005-0000-0000-0000AF020000}"/>
    <cellStyle name="20% - Accent5 2 3 3 2 3" xfId="688" xr:uid="{00000000-0005-0000-0000-0000B0020000}"/>
    <cellStyle name="20% - Accent5 2 3 3 3" xfId="689" xr:uid="{00000000-0005-0000-0000-0000B1020000}"/>
    <cellStyle name="20% - Accent5 2 3 3 3 2" xfId="690" xr:uid="{00000000-0005-0000-0000-0000B2020000}"/>
    <cellStyle name="20% - Accent5 2 3 3 4" xfId="691" xr:uid="{00000000-0005-0000-0000-0000B3020000}"/>
    <cellStyle name="20% - Accent5 2 3 4" xfId="692" xr:uid="{00000000-0005-0000-0000-0000B4020000}"/>
    <cellStyle name="20% - Accent5 2 3 4 2" xfId="693" xr:uid="{00000000-0005-0000-0000-0000B5020000}"/>
    <cellStyle name="20% - Accent5 2 3 5" xfId="694" xr:uid="{00000000-0005-0000-0000-0000B6020000}"/>
    <cellStyle name="20% - Accent5 2 4" xfId="695" xr:uid="{00000000-0005-0000-0000-0000B7020000}"/>
    <cellStyle name="20% - Accent5 2 4 2" xfId="696" xr:uid="{00000000-0005-0000-0000-0000B8020000}"/>
    <cellStyle name="20% - Accent5 2 4 2 2" xfId="697" xr:uid="{00000000-0005-0000-0000-0000B9020000}"/>
    <cellStyle name="20% - Accent5 2 4 2 2 2" xfId="698" xr:uid="{00000000-0005-0000-0000-0000BA020000}"/>
    <cellStyle name="20% - Accent5 2 4 2 3" xfId="699" xr:uid="{00000000-0005-0000-0000-0000BB020000}"/>
    <cellStyle name="20% - Accent5 2 4 3" xfId="700" xr:uid="{00000000-0005-0000-0000-0000BC020000}"/>
    <cellStyle name="20% - Accent5 2 4 3 2" xfId="701" xr:uid="{00000000-0005-0000-0000-0000BD020000}"/>
    <cellStyle name="20% - Accent5 2 4 4" xfId="702" xr:uid="{00000000-0005-0000-0000-0000BE020000}"/>
    <cellStyle name="20% - Accent5 2 5" xfId="703" xr:uid="{00000000-0005-0000-0000-0000BF020000}"/>
    <cellStyle name="20% - Accent5 2 5 2" xfId="704" xr:uid="{00000000-0005-0000-0000-0000C0020000}"/>
    <cellStyle name="20% - Accent5 2 5 2 2" xfId="705" xr:uid="{00000000-0005-0000-0000-0000C1020000}"/>
    <cellStyle name="20% - Accent5 2 5 2 2 2" xfId="706" xr:uid="{00000000-0005-0000-0000-0000C2020000}"/>
    <cellStyle name="20% - Accent5 2 5 2 3" xfId="707" xr:uid="{00000000-0005-0000-0000-0000C3020000}"/>
    <cellStyle name="20% - Accent5 2 5 3" xfId="708" xr:uid="{00000000-0005-0000-0000-0000C4020000}"/>
    <cellStyle name="20% - Accent5 2 5 3 2" xfId="709" xr:uid="{00000000-0005-0000-0000-0000C5020000}"/>
    <cellStyle name="20% - Accent5 2 5 3 2 2" xfId="710" xr:uid="{00000000-0005-0000-0000-0000C6020000}"/>
    <cellStyle name="20% - Accent5 2 5 3 2 2 2" xfId="711" xr:uid="{00000000-0005-0000-0000-0000C7020000}"/>
    <cellStyle name="20% - Accent5 2 5 3 2 3" xfId="712" xr:uid="{00000000-0005-0000-0000-0000C8020000}"/>
    <cellStyle name="20% - Accent5 2 5 3 3" xfId="713" xr:uid="{00000000-0005-0000-0000-0000C9020000}"/>
    <cellStyle name="20% - Accent5 2 5 3 3 2" xfId="714" xr:uid="{00000000-0005-0000-0000-0000CA020000}"/>
    <cellStyle name="20% - Accent5 2 5 3 4" xfId="715" xr:uid="{00000000-0005-0000-0000-0000CB020000}"/>
    <cellStyle name="20% - Accent5 2 5 4" xfId="716" xr:uid="{00000000-0005-0000-0000-0000CC020000}"/>
    <cellStyle name="20% - Accent5 2 5 4 2" xfId="717" xr:uid="{00000000-0005-0000-0000-0000CD020000}"/>
    <cellStyle name="20% - Accent5 2 5 5" xfId="718" xr:uid="{00000000-0005-0000-0000-0000CE020000}"/>
    <cellStyle name="20% - Accent5 2 6" xfId="719" xr:uid="{00000000-0005-0000-0000-0000CF020000}"/>
    <cellStyle name="20% - Accent5 2 6 2" xfId="720" xr:uid="{00000000-0005-0000-0000-0000D0020000}"/>
    <cellStyle name="20% - Accent5 2 6 2 2" xfId="721" xr:uid="{00000000-0005-0000-0000-0000D1020000}"/>
    <cellStyle name="20% - Accent5 2 6 3" xfId="722" xr:uid="{00000000-0005-0000-0000-0000D2020000}"/>
    <cellStyle name="20% - Accent5 2 7" xfId="723" xr:uid="{00000000-0005-0000-0000-0000D3020000}"/>
    <cellStyle name="20% - Accent5 2 7 2" xfId="724" xr:uid="{00000000-0005-0000-0000-0000D4020000}"/>
    <cellStyle name="20% - Accent5 2 7 2 2" xfId="725" xr:uid="{00000000-0005-0000-0000-0000D5020000}"/>
    <cellStyle name="20% - Accent5 2 7 3" xfId="726" xr:uid="{00000000-0005-0000-0000-0000D6020000}"/>
    <cellStyle name="20% - Accent5 2 8" xfId="727" xr:uid="{00000000-0005-0000-0000-0000D7020000}"/>
    <cellStyle name="20% - Accent5 2 8 2" xfId="728" xr:uid="{00000000-0005-0000-0000-0000D8020000}"/>
    <cellStyle name="20% - Accent5 2 8 2 2" xfId="729" xr:uid="{00000000-0005-0000-0000-0000D9020000}"/>
    <cellStyle name="20% - Accent5 2 8 2 2 2" xfId="730" xr:uid="{00000000-0005-0000-0000-0000DA020000}"/>
    <cellStyle name="20% - Accent5 2 8 2 3" xfId="731" xr:uid="{00000000-0005-0000-0000-0000DB020000}"/>
    <cellStyle name="20% - Accent5 2 8 3" xfId="732" xr:uid="{00000000-0005-0000-0000-0000DC020000}"/>
    <cellStyle name="20% - Accent5 2 8 3 2" xfId="733" xr:uid="{00000000-0005-0000-0000-0000DD020000}"/>
    <cellStyle name="20% - Accent5 2 8 4" xfId="734" xr:uid="{00000000-0005-0000-0000-0000DE020000}"/>
    <cellStyle name="20% - Accent5 2 9" xfId="735" xr:uid="{00000000-0005-0000-0000-0000DF020000}"/>
    <cellStyle name="20% - Accent5 2 9 2" xfId="736" xr:uid="{00000000-0005-0000-0000-0000E0020000}"/>
    <cellStyle name="20% - Accent5 3" xfId="737" xr:uid="{00000000-0005-0000-0000-0000E1020000}"/>
    <cellStyle name="20% - Accent5 3 2" xfId="738" xr:uid="{00000000-0005-0000-0000-0000E2020000}"/>
    <cellStyle name="20% - Accent5 3 2 2" xfId="739" xr:uid="{00000000-0005-0000-0000-0000E3020000}"/>
    <cellStyle name="20% - Accent5 3 2 2 2" xfId="740" xr:uid="{00000000-0005-0000-0000-0000E4020000}"/>
    <cellStyle name="20% - Accent5 3 2 3" xfId="741" xr:uid="{00000000-0005-0000-0000-0000E5020000}"/>
    <cellStyle name="20% - Accent5 3 3" xfId="742" xr:uid="{00000000-0005-0000-0000-0000E6020000}"/>
    <cellStyle name="20% - Accent5 3 3 2" xfId="743" xr:uid="{00000000-0005-0000-0000-0000E7020000}"/>
    <cellStyle name="20% - Accent5 3 4" xfId="744" xr:uid="{00000000-0005-0000-0000-0000E8020000}"/>
    <cellStyle name="20% - Accent5 3 4 2" xfId="745" xr:uid="{00000000-0005-0000-0000-0000E9020000}"/>
    <cellStyle name="20% - Accent5 3 4 2 2" xfId="746" xr:uid="{00000000-0005-0000-0000-0000EA020000}"/>
    <cellStyle name="20% - Accent5 3 4 3" xfId="747" xr:uid="{00000000-0005-0000-0000-0000EB020000}"/>
    <cellStyle name="20% - Accent5 3 5" xfId="748" xr:uid="{00000000-0005-0000-0000-0000EC020000}"/>
    <cellStyle name="20% - Accent5 4" xfId="749" xr:uid="{00000000-0005-0000-0000-0000ED020000}"/>
    <cellStyle name="20% - Accent5 4 2" xfId="750" xr:uid="{00000000-0005-0000-0000-0000EE020000}"/>
    <cellStyle name="20% - Accent5 4 2 2" xfId="751" xr:uid="{00000000-0005-0000-0000-0000EF020000}"/>
    <cellStyle name="20% - Accent5 4 3" xfId="752" xr:uid="{00000000-0005-0000-0000-0000F0020000}"/>
    <cellStyle name="20% - Accent5 4 3 2" xfId="753" xr:uid="{00000000-0005-0000-0000-0000F1020000}"/>
    <cellStyle name="20% - Accent5 4 3 2 2" xfId="754" xr:uid="{00000000-0005-0000-0000-0000F2020000}"/>
    <cellStyle name="20% - Accent5 4 3 3" xfId="755" xr:uid="{00000000-0005-0000-0000-0000F3020000}"/>
    <cellStyle name="20% - Accent5 4 4" xfId="756" xr:uid="{00000000-0005-0000-0000-0000F4020000}"/>
    <cellStyle name="20% - Accent5 5" xfId="757" xr:uid="{00000000-0005-0000-0000-0000F5020000}"/>
    <cellStyle name="20% - Accent5 5 2" xfId="758" xr:uid="{00000000-0005-0000-0000-0000F6020000}"/>
    <cellStyle name="20% - Accent5 5 2 2" xfId="759" xr:uid="{00000000-0005-0000-0000-0000F7020000}"/>
    <cellStyle name="20% - Accent5 5 2 2 2" xfId="760" xr:uid="{00000000-0005-0000-0000-0000F8020000}"/>
    <cellStyle name="20% - Accent5 5 2 3" xfId="761" xr:uid="{00000000-0005-0000-0000-0000F9020000}"/>
    <cellStyle name="20% - Accent5 5 3" xfId="762" xr:uid="{00000000-0005-0000-0000-0000FA020000}"/>
    <cellStyle name="20% - Accent5 5 3 2" xfId="763" xr:uid="{00000000-0005-0000-0000-0000FB020000}"/>
    <cellStyle name="20% - Accent5 5 3 2 2" xfId="764" xr:uid="{00000000-0005-0000-0000-0000FC020000}"/>
    <cellStyle name="20% - Accent5 5 3 2 2 2" xfId="765" xr:uid="{00000000-0005-0000-0000-0000FD020000}"/>
    <cellStyle name="20% - Accent5 5 3 2 3" xfId="766" xr:uid="{00000000-0005-0000-0000-0000FE020000}"/>
    <cellStyle name="20% - Accent5 5 3 3" xfId="767" xr:uid="{00000000-0005-0000-0000-0000FF020000}"/>
    <cellStyle name="20% - Accent5 5 3 3 2" xfId="768" xr:uid="{00000000-0005-0000-0000-000000030000}"/>
    <cellStyle name="20% - Accent5 5 3 4" xfId="769" xr:uid="{00000000-0005-0000-0000-000001030000}"/>
    <cellStyle name="20% - Accent5 5 4" xfId="770" xr:uid="{00000000-0005-0000-0000-000002030000}"/>
    <cellStyle name="20% - Accent5 5 4 2" xfId="771" xr:uid="{00000000-0005-0000-0000-000003030000}"/>
    <cellStyle name="20% - Accent5 5 5" xfId="772" xr:uid="{00000000-0005-0000-0000-000004030000}"/>
    <cellStyle name="20% - Accent5 6" xfId="773" xr:uid="{00000000-0005-0000-0000-000005030000}"/>
    <cellStyle name="20% - Accent5 6 2" xfId="774" xr:uid="{00000000-0005-0000-0000-000006030000}"/>
    <cellStyle name="20% - Accent5 6 2 2" xfId="775" xr:uid="{00000000-0005-0000-0000-000007030000}"/>
    <cellStyle name="20% - Accent5 6 2 2 2" xfId="776" xr:uid="{00000000-0005-0000-0000-000008030000}"/>
    <cellStyle name="20% - Accent5 6 2 3" xfId="777" xr:uid="{00000000-0005-0000-0000-000009030000}"/>
    <cellStyle name="20% - Accent5 6 3" xfId="778" xr:uid="{00000000-0005-0000-0000-00000A030000}"/>
    <cellStyle name="20% - Accent5 6 3 2" xfId="779" xr:uid="{00000000-0005-0000-0000-00000B030000}"/>
    <cellStyle name="20% - Accent5 6 4" xfId="780" xr:uid="{00000000-0005-0000-0000-00000C030000}"/>
    <cellStyle name="20% - Accent5 7" xfId="781" xr:uid="{00000000-0005-0000-0000-00000D030000}"/>
    <cellStyle name="20% - Accent5 8" xfId="782" xr:uid="{00000000-0005-0000-0000-00000E030000}"/>
    <cellStyle name="20% - Accent6 2" xfId="783" xr:uid="{00000000-0005-0000-0000-00000F030000}"/>
    <cellStyle name="20% - Accent6 2 10" xfId="784" xr:uid="{00000000-0005-0000-0000-000010030000}"/>
    <cellStyle name="20% - Accent6 2 10 2" xfId="785" xr:uid="{00000000-0005-0000-0000-000011030000}"/>
    <cellStyle name="20% - Accent6 2 11" xfId="786" xr:uid="{00000000-0005-0000-0000-000012030000}"/>
    <cellStyle name="20% - Accent6 2 2" xfId="787" xr:uid="{00000000-0005-0000-0000-000013030000}"/>
    <cellStyle name="20% - Accent6 2 2 2" xfId="788" xr:uid="{00000000-0005-0000-0000-000014030000}"/>
    <cellStyle name="20% - Accent6 2 2 2 2" xfId="789" xr:uid="{00000000-0005-0000-0000-000015030000}"/>
    <cellStyle name="20% - Accent6 2 2 2 2 2" xfId="790" xr:uid="{00000000-0005-0000-0000-000016030000}"/>
    <cellStyle name="20% - Accent6 2 2 2 3" xfId="791" xr:uid="{00000000-0005-0000-0000-000017030000}"/>
    <cellStyle name="20% - Accent6 2 2 2 3 2" xfId="792" xr:uid="{00000000-0005-0000-0000-000018030000}"/>
    <cellStyle name="20% - Accent6 2 2 2 3 2 2" xfId="793" xr:uid="{00000000-0005-0000-0000-000019030000}"/>
    <cellStyle name="20% - Accent6 2 2 2 3 3" xfId="794" xr:uid="{00000000-0005-0000-0000-00001A030000}"/>
    <cellStyle name="20% - Accent6 2 2 2 4" xfId="795" xr:uid="{00000000-0005-0000-0000-00001B030000}"/>
    <cellStyle name="20% - Accent6 2 2 3" xfId="796" xr:uid="{00000000-0005-0000-0000-00001C030000}"/>
    <cellStyle name="20% - Accent6 2 2 3 2" xfId="797" xr:uid="{00000000-0005-0000-0000-00001D030000}"/>
    <cellStyle name="20% - Accent6 2 2 3 2 2" xfId="798" xr:uid="{00000000-0005-0000-0000-00001E030000}"/>
    <cellStyle name="20% - Accent6 2 2 3 3" xfId="799" xr:uid="{00000000-0005-0000-0000-00001F030000}"/>
    <cellStyle name="20% - Accent6 2 2 4" xfId="800" xr:uid="{00000000-0005-0000-0000-000020030000}"/>
    <cellStyle name="20% - Accent6 2 2 4 2" xfId="801" xr:uid="{00000000-0005-0000-0000-000021030000}"/>
    <cellStyle name="20% - Accent6 2 2 4 2 2" xfId="802" xr:uid="{00000000-0005-0000-0000-000022030000}"/>
    <cellStyle name="20% - Accent6 2 2 4 2 2 2" xfId="803" xr:uid="{00000000-0005-0000-0000-000023030000}"/>
    <cellStyle name="20% - Accent6 2 2 4 2 3" xfId="804" xr:uid="{00000000-0005-0000-0000-000024030000}"/>
    <cellStyle name="20% - Accent6 2 2 4 3" xfId="805" xr:uid="{00000000-0005-0000-0000-000025030000}"/>
    <cellStyle name="20% - Accent6 2 2 4 3 2" xfId="806" xr:uid="{00000000-0005-0000-0000-000026030000}"/>
    <cellStyle name="20% - Accent6 2 2 4 4" xfId="807" xr:uid="{00000000-0005-0000-0000-000027030000}"/>
    <cellStyle name="20% - Accent6 2 2 5" xfId="808" xr:uid="{00000000-0005-0000-0000-000028030000}"/>
    <cellStyle name="20% - Accent6 2 2 5 2" xfId="809" xr:uid="{00000000-0005-0000-0000-000029030000}"/>
    <cellStyle name="20% - Accent6 2 2 6" xfId="810" xr:uid="{00000000-0005-0000-0000-00002A030000}"/>
    <cellStyle name="20% - Accent6 2 3" xfId="811" xr:uid="{00000000-0005-0000-0000-00002B030000}"/>
    <cellStyle name="20% - Accent6 2 3 2" xfId="812" xr:uid="{00000000-0005-0000-0000-00002C030000}"/>
    <cellStyle name="20% - Accent6 2 3 2 2" xfId="813" xr:uid="{00000000-0005-0000-0000-00002D030000}"/>
    <cellStyle name="20% - Accent6 2 3 2 2 2" xfId="814" xr:uid="{00000000-0005-0000-0000-00002E030000}"/>
    <cellStyle name="20% - Accent6 2 3 2 3" xfId="815" xr:uid="{00000000-0005-0000-0000-00002F030000}"/>
    <cellStyle name="20% - Accent6 2 3 3" xfId="816" xr:uid="{00000000-0005-0000-0000-000030030000}"/>
    <cellStyle name="20% - Accent6 2 3 3 2" xfId="817" xr:uid="{00000000-0005-0000-0000-000031030000}"/>
    <cellStyle name="20% - Accent6 2 3 3 2 2" xfId="818" xr:uid="{00000000-0005-0000-0000-000032030000}"/>
    <cellStyle name="20% - Accent6 2 3 3 2 2 2" xfId="819" xr:uid="{00000000-0005-0000-0000-000033030000}"/>
    <cellStyle name="20% - Accent6 2 3 3 2 3" xfId="820" xr:uid="{00000000-0005-0000-0000-000034030000}"/>
    <cellStyle name="20% - Accent6 2 3 3 3" xfId="821" xr:uid="{00000000-0005-0000-0000-000035030000}"/>
    <cellStyle name="20% - Accent6 2 3 3 3 2" xfId="822" xr:uid="{00000000-0005-0000-0000-000036030000}"/>
    <cellStyle name="20% - Accent6 2 3 3 4" xfId="823" xr:uid="{00000000-0005-0000-0000-000037030000}"/>
    <cellStyle name="20% - Accent6 2 3 4" xfId="824" xr:uid="{00000000-0005-0000-0000-000038030000}"/>
    <cellStyle name="20% - Accent6 2 3 4 2" xfId="825" xr:uid="{00000000-0005-0000-0000-000039030000}"/>
    <cellStyle name="20% - Accent6 2 3 5" xfId="826" xr:uid="{00000000-0005-0000-0000-00003A030000}"/>
    <cellStyle name="20% - Accent6 2 4" xfId="827" xr:uid="{00000000-0005-0000-0000-00003B030000}"/>
    <cellStyle name="20% - Accent6 2 4 2" xfId="828" xr:uid="{00000000-0005-0000-0000-00003C030000}"/>
    <cellStyle name="20% - Accent6 2 4 2 2" xfId="829" xr:uid="{00000000-0005-0000-0000-00003D030000}"/>
    <cellStyle name="20% - Accent6 2 4 2 2 2" xfId="830" xr:uid="{00000000-0005-0000-0000-00003E030000}"/>
    <cellStyle name="20% - Accent6 2 4 2 3" xfId="831" xr:uid="{00000000-0005-0000-0000-00003F030000}"/>
    <cellStyle name="20% - Accent6 2 4 3" xfId="832" xr:uid="{00000000-0005-0000-0000-000040030000}"/>
    <cellStyle name="20% - Accent6 2 4 3 2" xfId="833" xr:uid="{00000000-0005-0000-0000-000041030000}"/>
    <cellStyle name="20% - Accent6 2 4 4" xfId="834" xr:uid="{00000000-0005-0000-0000-000042030000}"/>
    <cellStyle name="20% - Accent6 2 5" xfId="835" xr:uid="{00000000-0005-0000-0000-000043030000}"/>
    <cellStyle name="20% - Accent6 2 5 2" xfId="836" xr:uid="{00000000-0005-0000-0000-000044030000}"/>
    <cellStyle name="20% - Accent6 2 5 2 2" xfId="837" xr:uid="{00000000-0005-0000-0000-000045030000}"/>
    <cellStyle name="20% - Accent6 2 5 2 2 2" xfId="838" xr:uid="{00000000-0005-0000-0000-000046030000}"/>
    <cellStyle name="20% - Accent6 2 5 2 3" xfId="839" xr:uid="{00000000-0005-0000-0000-000047030000}"/>
    <cellStyle name="20% - Accent6 2 5 3" xfId="840" xr:uid="{00000000-0005-0000-0000-000048030000}"/>
    <cellStyle name="20% - Accent6 2 5 3 2" xfId="841" xr:uid="{00000000-0005-0000-0000-000049030000}"/>
    <cellStyle name="20% - Accent6 2 5 3 2 2" xfId="842" xr:uid="{00000000-0005-0000-0000-00004A030000}"/>
    <cellStyle name="20% - Accent6 2 5 3 2 2 2" xfId="843" xr:uid="{00000000-0005-0000-0000-00004B030000}"/>
    <cellStyle name="20% - Accent6 2 5 3 2 3" xfId="844" xr:uid="{00000000-0005-0000-0000-00004C030000}"/>
    <cellStyle name="20% - Accent6 2 5 3 3" xfId="845" xr:uid="{00000000-0005-0000-0000-00004D030000}"/>
    <cellStyle name="20% - Accent6 2 5 3 3 2" xfId="846" xr:uid="{00000000-0005-0000-0000-00004E030000}"/>
    <cellStyle name="20% - Accent6 2 5 3 4" xfId="847" xr:uid="{00000000-0005-0000-0000-00004F030000}"/>
    <cellStyle name="20% - Accent6 2 5 4" xfId="848" xr:uid="{00000000-0005-0000-0000-000050030000}"/>
    <cellStyle name="20% - Accent6 2 5 4 2" xfId="849" xr:uid="{00000000-0005-0000-0000-000051030000}"/>
    <cellStyle name="20% - Accent6 2 5 5" xfId="850" xr:uid="{00000000-0005-0000-0000-000052030000}"/>
    <cellStyle name="20% - Accent6 2 6" xfId="851" xr:uid="{00000000-0005-0000-0000-000053030000}"/>
    <cellStyle name="20% - Accent6 2 6 2" xfId="852" xr:uid="{00000000-0005-0000-0000-000054030000}"/>
    <cellStyle name="20% - Accent6 2 6 2 2" xfId="853" xr:uid="{00000000-0005-0000-0000-000055030000}"/>
    <cellStyle name="20% - Accent6 2 6 3" xfId="854" xr:uid="{00000000-0005-0000-0000-000056030000}"/>
    <cellStyle name="20% - Accent6 2 7" xfId="855" xr:uid="{00000000-0005-0000-0000-000057030000}"/>
    <cellStyle name="20% - Accent6 2 7 2" xfId="856" xr:uid="{00000000-0005-0000-0000-000058030000}"/>
    <cellStyle name="20% - Accent6 2 7 2 2" xfId="857" xr:uid="{00000000-0005-0000-0000-000059030000}"/>
    <cellStyle name="20% - Accent6 2 7 3" xfId="858" xr:uid="{00000000-0005-0000-0000-00005A030000}"/>
    <cellStyle name="20% - Accent6 2 8" xfId="859" xr:uid="{00000000-0005-0000-0000-00005B030000}"/>
    <cellStyle name="20% - Accent6 2 8 2" xfId="860" xr:uid="{00000000-0005-0000-0000-00005C030000}"/>
    <cellStyle name="20% - Accent6 2 8 2 2" xfId="861" xr:uid="{00000000-0005-0000-0000-00005D030000}"/>
    <cellStyle name="20% - Accent6 2 8 2 2 2" xfId="862" xr:uid="{00000000-0005-0000-0000-00005E030000}"/>
    <cellStyle name="20% - Accent6 2 8 2 3" xfId="863" xr:uid="{00000000-0005-0000-0000-00005F030000}"/>
    <cellStyle name="20% - Accent6 2 8 3" xfId="864" xr:uid="{00000000-0005-0000-0000-000060030000}"/>
    <cellStyle name="20% - Accent6 2 8 3 2" xfId="865" xr:uid="{00000000-0005-0000-0000-000061030000}"/>
    <cellStyle name="20% - Accent6 2 8 4" xfId="866" xr:uid="{00000000-0005-0000-0000-000062030000}"/>
    <cellStyle name="20% - Accent6 2 9" xfId="867" xr:uid="{00000000-0005-0000-0000-000063030000}"/>
    <cellStyle name="20% - Accent6 2 9 2" xfId="868" xr:uid="{00000000-0005-0000-0000-000064030000}"/>
    <cellStyle name="20% - Accent6 3" xfId="869" xr:uid="{00000000-0005-0000-0000-000065030000}"/>
    <cellStyle name="20% - Accent6 3 2" xfId="870" xr:uid="{00000000-0005-0000-0000-000066030000}"/>
    <cellStyle name="20% - Accent6 3 2 2" xfId="871" xr:uid="{00000000-0005-0000-0000-000067030000}"/>
    <cellStyle name="20% - Accent6 3 2 2 2" xfId="872" xr:uid="{00000000-0005-0000-0000-000068030000}"/>
    <cellStyle name="20% - Accent6 3 2 3" xfId="873" xr:uid="{00000000-0005-0000-0000-000069030000}"/>
    <cellStyle name="20% - Accent6 3 3" xfId="874" xr:uid="{00000000-0005-0000-0000-00006A030000}"/>
    <cellStyle name="20% - Accent6 3 3 2" xfId="875" xr:uid="{00000000-0005-0000-0000-00006B030000}"/>
    <cellStyle name="20% - Accent6 3 4" xfId="876" xr:uid="{00000000-0005-0000-0000-00006C030000}"/>
    <cellStyle name="20% - Accent6 3 4 2" xfId="877" xr:uid="{00000000-0005-0000-0000-00006D030000}"/>
    <cellStyle name="20% - Accent6 3 4 2 2" xfId="878" xr:uid="{00000000-0005-0000-0000-00006E030000}"/>
    <cellStyle name="20% - Accent6 3 4 3" xfId="879" xr:uid="{00000000-0005-0000-0000-00006F030000}"/>
    <cellStyle name="20% - Accent6 3 5" xfId="880" xr:uid="{00000000-0005-0000-0000-000070030000}"/>
    <cellStyle name="20% - Accent6 4" xfId="881" xr:uid="{00000000-0005-0000-0000-000071030000}"/>
    <cellStyle name="20% - Accent6 4 2" xfId="882" xr:uid="{00000000-0005-0000-0000-000072030000}"/>
    <cellStyle name="20% - Accent6 4 2 2" xfId="883" xr:uid="{00000000-0005-0000-0000-000073030000}"/>
    <cellStyle name="20% - Accent6 4 3" xfId="884" xr:uid="{00000000-0005-0000-0000-000074030000}"/>
    <cellStyle name="20% - Accent6 4 3 2" xfId="885" xr:uid="{00000000-0005-0000-0000-000075030000}"/>
    <cellStyle name="20% - Accent6 4 3 2 2" xfId="886" xr:uid="{00000000-0005-0000-0000-000076030000}"/>
    <cellStyle name="20% - Accent6 4 3 3" xfId="887" xr:uid="{00000000-0005-0000-0000-000077030000}"/>
    <cellStyle name="20% - Accent6 4 4" xfId="888" xr:uid="{00000000-0005-0000-0000-000078030000}"/>
    <cellStyle name="20% - Accent6 5" xfId="889" xr:uid="{00000000-0005-0000-0000-000079030000}"/>
    <cellStyle name="20% - Accent6 5 2" xfId="890" xr:uid="{00000000-0005-0000-0000-00007A030000}"/>
    <cellStyle name="20% - Accent6 5 2 2" xfId="891" xr:uid="{00000000-0005-0000-0000-00007B030000}"/>
    <cellStyle name="20% - Accent6 5 2 2 2" xfId="892" xr:uid="{00000000-0005-0000-0000-00007C030000}"/>
    <cellStyle name="20% - Accent6 5 2 3" xfId="893" xr:uid="{00000000-0005-0000-0000-00007D030000}"/>
    <cellStyle name="20% - Accent6 5 3" xfId="894" xr:uid="{00000000-0005-0000-0000-00007E030000}"/>
    <cellStyle name="20% - Accent6 5 3 2" xfId="895" xr:uid="{00000000-0005-0000-0000-00007F030000}"/>
    <cellStyle name="20% - Accent6 5 3 2 2" xfId="896" xr:uid="{00000000-0005-0000-0000-000080030000}"/>
    <cellStyle name="20% - Accent6 5 3 2 2 2" xfId="897" xr:uid="{00000000-0005-0000-0000-000081030000}"/>
    <cellStyle name="20% - Accent6 5 3 2 3" xfId="898" xr:uid="{00000000-0005-0000-0000-000082030000}"/>
    <cellStyle name="20% - Accent6 5 3 3" xfId="899" xr:uid="{00000000-0005-0000-0000-000083030000}"/>
    <cellStyle name="20% - Accent6 5 3 3 2" xfId="900" xr:uid="{00000000-0005-0000-0000-000084030000}"/>
    <cellStyle name="20% - Accent6 5 3 4" xfId="901" xr:uid="{00000000-0005-0000-0000-000085030000}"/>
    <cellStyle name="20% - Accent6 5 4" xfId="902" xr:uid="{00000000-0005-0000-0000-000086030000}"/>
    <cellStyle name="20% - Accent6 5 4 2" xfId="903" xr:uid="{00000000-0005-0000-0000-000087030000}"/>
    <cellStyle name="20% - Accent6 5 5" xfId="904" xr:uid="{00000000-0005-0000-0000-000088030000}"/>
    <cellStyle name="20% - Accent6 6" xfId="905" xr:uid="{00000000-0005-0000-0000-000089030000}"/>
    <cellStyle name="20% - Accent6 6 2" xfId="906" xr:uid="{00000000-0005-0000-0000-00008A030000}"/>
    <cellStyle name="20% - Accent6 6 2 2" xfId="907" xr:uid="{00000000-0005-0000-0000-00008B030000}"/>
    <cellStyle name="20% - Accent6 6 2 2 2" xfId="908" xr:uid="{00000000-0005-0000-0000-00008C030000}"/>
    <cellStyle name="20% - Accent6 6 2 3" xfId="909" xr:uid="{00000000-0005-0000-0000-00008D030000}"/>
    <cellStyle name="20% - Accent6 6 3" xfId="910" xr:uid="{00000000-0005-0000-0000-00008E030000}"/>
    <cellStyle name="20% - Accent6 6 3 2" xfId="911" xr:uid="{00000000-0005-0000-0000-00008F030000}"/>
    <cellStyle name="20% - Accent6 6 4" xfId="912" xr:uid="{00000000-0005-0000-0000-000090030000}"/>
    <cellStyle name="20% - Accent6 7" xfId="913" xr:uid="{00000000-0005-0000-0000-000091030000}"/>
    <cellStyle name="20% - Accent6 8" xfId="914" xr:uid="{00000000-0005-0000-0000-000092030000}"/>
    <cellStyle name="40% - Accent1 2" xfId="915" xr:uid="{00000000-0005-0000-0000-000093030000}"/>
    <cellStyle name="40% - Accent1 2 10" xfId="916" xr:uid="{00000000-0005-0000-0000-000094030000}"/>
    <cellStyle name="40% - Accent1 2 10 2" xfId="917" xr:uid="{00000000-0005-0000-0000-000095030000}"/>
    <cellStyle name="40% - Accent1 2 11" xfId="918" xr:uid="{00000000-0005-0000-0000-000096030000}"/>
    <cellStyle name="40% - Accent1 2 2" xfId="919" xr:uid="{00000000-0005-0000-0000-000097030000}"/>
    <cellStyle name="40% - Accent1 2 2 2" xfId="920" xr:uid="{00000000-0005-0000-0000-000098030000}"/>
    <cellStyle name="40% - Accent1 2 2 2 2" xfId="921" xr:uid="{00000000-0005-0000-0000-000099030000}"/>
    <cellStyle name="40% - Accent1 2 2 2 2 2" xfId="922" xr:uid="{00000000-0005-0000-0000-00009A030000}"/>
    <cellStyle name="40% - Accent1 2 2 2 3" xfId="923" xr:uid="{00000000-0005-0000-0000-00009B030000}"/>
    <cellStyle name="40% - Accent1 2 2 2 3 2" xfId="924" xr:uid="{00000000-0005-0000-0000-00009C030000}"/>
    <cellStyle name="40% - Accent1 2 2 2 3 2 2" xfId="925" xr:uid="{00000000-0005-0000-0000-00009D030000}"/>
    <cellStyle name="40% - Accent1 2 2 2 3 3" xfId="926" xr:uid="{00000000-0005-0000-0000-00009E030000}"/>
    <cellStyle name="40% - Accent1 2 2 2 4" xfId="927" xr:uid="{00000000-0005-0000-0000-00009F030000}"/>
    <cellStyle name="40% - Accent1 2 2 3" xfId="928" xr:uid="{00000000-0005-0000-0000-0000A0030000}"/>
    <cellStyle name="40% - Accent1 2 2 3 2" xfId="929" xr:uid="{00000000-0005-0000-0000-0000A1030000}"/>
    <cellStyle name="40% - Accent1 2 2 3 2 2" xfId="930" xr:uid="{00000000-0005-0000-0000-0000A2030000}"/>
    <cellStyle name="40% - Accent1 2 2 3 3" xfId="931" xr:uid="{00000000-0005-0000-0000-0000A3030000}"/>
    <cellStyle name="40% - Accent1 2 2 4" xfId="932" xr:uid="{00000000-0005-0000-0000-0000A4030000}"/>
    <cellStyle name="40% - Accent1 2 2 4 2" xfId="933" xr:uid="{00000000-0005-0000-0000-0000A5030000}"/>
    <cellStyle name="40% - Accent1 2 2 4 2 2" xfId="934" xr:uid="{00000000-0005-0000-0000-0000A6030000}"/>
    <cellStyle name="40% - Accent1 2 2 4 2 2 2" xfId="935" xr:uid="{00000000-0005-0000-0000-0000A7030000}"/>
    <cellStyle name="40% - Accent1 2 2 4 2 3" xfId="936" xr:uid="{00000000-0005-0000-0000-0000A8030000}"/>
    <cellStyle name="40% - Accent1 2 2 4 3" xfId="937" xr:uid="{00000000-0005-0000-0000-0000A9030000}"/>
    <cellStyle name="40% - Accent1 2 2 4 3 2" xfId="938" xr:uid="{00000000-0005-0000-0000-0000AA030000}"/>
    <cellStyle name="40% - Accent1 2 2 4 4" xfId="939" xr:uid="{00000000-0005-0000-0000-0000AB030000}"/>
    <cellStyle name="40% - Accent1 2 2 5" xfId="940" xr:uid="{00000000-0005-0000-0000-0000AC030000}"/>
    <cellStyle name="40% - Accent1 2 2 5 2" xfId="941" xr:uid="{00000000-0005-0000-0000-0000AD030000}"/>
    <cellStyle name="40% - Accent1 2 2 6" xfId="942" xr:uid="{00000000-0005-0000-0000-0000AE030000}"/>
    <cellStyle name="40% - Accent1 2 3" xfId="943" xr:uid="{00000000-0005-0000-0000-0000AF030000}"/>
    <cellStyle name="40% - Accent1 2 3 2" xfId="944" xr:uid="{00000000-0005-0000-0000-0000B0030000}"/>
    <cellStyle name="40% - Accent1 2 3 2 2" xfId="945" xr:uid="{00000000-0005-0000-0000-0000B1030000}"/>
    <cellStyle name="40% - Accent1 2 3 2 2 2" xfId="946" xr:uid="{00000000-0005-0000-0000-0000B2030000}"/>
    <cellStyle name="40% - Accent1 2 3 2 3" xfId="947" xr:uid="{00000000-0005-0000-0000-0000B3030000}"/>
    <cellStyle name="40% - Accent1 2 3 3" xfId="948" xr:uid="{00000000-0005-0000-0000-0000B4030000}"/>
    <cellStyle name="40% - Accent1 2 3 3 2" xfId="949" xr:uid="{00000000-0005-0000-0000-0000B5030000}"/>
    <cellStyle name="40% - Accent1 2 3 3 2 2" xfId="950" xr:uid="{00000000-0005-0000-0000-0000B6030000}"/>
    <cellStyle name="40% - Accent1 2 3 3 2 2 2" xfId="951" xr:uid="{00000000-0005-0000-0000-0000B7030000}"/>
    <cellStyle name="40% - Accent1 2 3 3 2 3" xfId="952" xr:uid="{00000000-0005-0000-0000-0000B8030000}"/>
    <cellStyle name="40% - Accent1 2 3 3 3" xfId="953" xr:uid="{00000000-0005-0000-0000-0000B9030000}"/>
    <cellStyle name="40% - Accent1 2 3 3 3 2" xfId="954" xr:uid="{00000000-0005-0000-0000-0000BA030000}"/>
    <cellStyle name="40% - Accent1 2 3 3 4" xfId="955" xr:uid="{00000000-0005-0000-0000-0000BB030000}"/>
    <cellStyle name="40% - Accent1 2 3 4" xfId="956" xr:uid="{00000000-0005-0000-0000-0000BC030000}"/>
    <cellStyle name="40% - Accent1 2 3 4 2" xfId="957" xr:uid="{00000000-0005-0000-0000-0000BD030000}"/>
    <cellStyle name="40% - Accent1 2 3 5" xfId="958" xr:uid="{00000000-0005-0000-0000-0000BE030000}"/>
    <cellStyle name="40% - Accent1 2 4" xfId="959" xr:uid="{00000000-0005-0000-0000-0000BF030000}"/>
    <cellStyle name="40% - Accent1 2 4 2" xfId="960" xr:uid="{00000000-0005-0000-0000-0000C0030000}"/>
    <cellStyle name="40% - Accent1 2 4 2 2" xfId="961" xr:uid="{00000000-0005-0000-0000-0000C1030000}"/>
    <cellStyle name="40% - Accent1 2 4 2 2 2" xfId="962" xr:uid="{00000000-0005-0000-0000-0000C2030000}"/>
    <cellStyle name="40% - Accent1 2 4 2 3" xfId="963" xr:uid="{00000000-0005-0000-0000-0000C3030000}"/>
    <cellStyle name="40% - Accent1 2 4 3" xfId="964" xr:uid="{00000000-0005-0000-0000-0000C4030000}"/>
    <cellStyle name="40% - Accent1 2 4 3 2" xfId="965" xr:uid="{00000000-0005-0000-0000-0000C5030000}"/>
    <cellStyle name="40% - Accent1 2 4 4" xfId="966" xr:uid="{00000000-0005-0000-0000-0000C6030000}"/>
    <cellStyle name="40% - Accent1 2 5" xfId="967" xr:uid="{00000000-0005-0000-0000-0000C7030000}"/>
    <cellStyle name="40% - Accent1 2 5 2" xfId="968" xr:uid="{00000000-0005-0000-0000-0000C8030000}"/>
    <cellStyle name="40% - Accent1 2 5 2 2" xfId="969" xr:uid="{00000000-0005-0000-0000-0000C9030000}"/>
    <cellStyle name="40% - Accent1 2 5 2 2 2" xfId="970" xr:uid="{00000000-0005-0000-0000-0000CA030000}"/>
    <cellStyle name="40% - Accent1 2 5 2 3" xfId="971" xr:uid="{00000000-0005-0000-0000-0000CB030000}"/>
    <cellStyle name="40% - Accent1 2 5 3" xfId="972" xr:uid="{00000000-0005-0000-0000-0000CC030000}"/>
    <cellStyle name="40% - Accent1 2 5 3 2" xfId="973" xr:uid="{00000000-0005-0000-0000-0000CD030000}"/>
    <cellStyle name="40% - Accent1 2 5 3 2 2" xfId="974" xr:uid="{00000000-0005-0000-0000-0000CE030000}"/>
    <cellStyle name="40% - Accent1 2 5 3 2 2 2" xfId="975" xr:uid="{00000000-0005-0000-0000-0000CF030000}"/>
    <cellStyle name="40% - Accent1 2 5 3 2 3" xfId="976" xr:uid="{00000000-0005-0000-0000-0000D0030000}"/>
    <cellStyle name="40% - Accent1 2 5 3 3" xfId="977" xr:uid="{00000000-0005-0000-0000-0000D1030000}"/>
    <cellStyle name="40% - Accent1 2 5 3 3 2" xfId="978" xr:uid="{00000000-0005-0000-0000-0000D2030000}"/>
    <cellStyle name="40% - Accent1 2 5 3 4" xfId="979" xr:uid="{00000000-0005-0000-0000-0000D3030000}"/>
    <cellStyle name="40% - Accent1 2 5 4" xfId="980" xr:uid="{00000000-0005-0000-0000-0000D4030000}"/>
    <cellStyle name="40% - Accent1 2 5 4 2" xfId="981" xr:uid="{00000000-0005-0000-0000-0000D5030000}"/>
    <cellStyle name="40% - Accent1 2 5 5" xfId="982" xr:uid="{00000000-0005-0000-0000-0000D6030000}"/>
    <cellStyle name="40% - Accent1 2 6" xfId="983" xr:uid="{00000000-0005-0000-0000-0000D7030000}"/>
    <cellStyle name="40% - Accent1 2 6 2" xfId="984" xr:uid="{00000000-0005-0000-0000-0000D8030000}"/>
    <cellStyle name="40% - Accent1 2 6 2 2" xfId="985" xr:uid="{00000000-0005-0000-0000-0000D9030000}"/>
    <cellStyle name="40% - Accent1 2 6 3" xfId="986" xr:uid="{00000000-0005-0000-0000-0000DA030000}"/>
    <cellStyle name="40% - Accent1 2 7" xfId="987" xr:uid="{00000000-0005-0000-0000-0000DB030000}"/>
    <cellStyle name="40% - Accent1 2 7 2" xfId="988" xr:uid="{00000000-0005-0000-0000-0000DC030000}"/>
    <cellStyle name="40% - Accent1 2 7 2 2" xfId="989" xr:uid="{00000000-0005-0000-0000-0000DD030000}"/>
    <cellStyle name="40% - Accent1 2 7 3" xfId="990" xr:uid="{00000000-0005-0000-0000-0000DE030000}"/>
    <cellStyle name="40% - Accent1 2 8" xfId="991" xr:uid="{00000000-0005-0000-0000-0000DF030000}"/>
    <cellStyle name="40% - Accent1 2 8 2" xfId="992" xr:uid="{00000000-0005-0000-0000-0000E0030000}"/>
    <cellStyle name="40% - Accent1 2 8 2 2" xfId="993" xr:uid="{00000000-0005-0000-0000-0000E1030000}"/>
    <cellStyle name="40% - Accent1 2 8 2 2 2" xfId="994" xr:uid="{00000000-0005-0000-0000-0000E2030000}"/>
    <cellStyle name="40% - Accent1 2 8 2 3" xfId="995" xr:uid="{00000000-0005-0000-0000-0000E3030000}"/>
    <cellStyle name="40% - Accent1 2 8 3" xfId="996" xr:uid="{00000000-0005-0000-0000-0000E4030000}"/>
    <cellStyle name="40% - Accent1 2 8 3 2" xfId="997" xr:uid="{00000000-0005-0000-0000-0000E5030000}"/>
    <cellStyle name="40% - Accent1 2 8 4" xfId="998" xr:uid="{00000000-0005-0000-0000-0000E6030000}"/>
    <cellStyle name="40% - Accent1 2 9" xfId="999" xr:uid="{00000000-0005-0000-0000-0000E7030000}"/>
    <cellStyle name="40% - Accent1 2 9 2" xfId="1000" xr:uid="{00000000-0005-0000-0000-0000E8030000}"/>
    <cellStyle name="40% - Accent1 3" xfId="1001" xr:uid="{00000000-0005-0000-0000-0000E9030000}"/>
    <cellStyle name="40% - Accent1 3 2" xfId="1002" xr:uid="{00000000-0005-0000-0000-0000EA030000}"/>
    <cellStyle name="40% - Accent1 3 2 2" xfId="1003" xr:uid="{00000000-0005-0000-0000-0000EB030000}"/>
    <cellStyle name="40% - Accent1 3 2 2 2" xfId="1004" xr:uid="{00000000-0005-0000-0000-0000EC030000}"/>
    <cellStyle name="40% - Accent1 3 2 3" xfId="1005" xr:uid="{00000000-0005-0000-0000-0000ED030000}"/>
    <cellStyle name="40% - Accent1 3 3" xfId="1006" xr:uid="{00000000-0005-0000-0000-0000EE030000}"/>
    <cellStyle name="40% - Accent1 3 3 2" xfId="1007" xr:uid="{00000000-0005-0000-0000-0000EF030000}"/>
    <cellStyle name="40% - Accent1 3 4" xfId="1008" xr:uid="{00000000-0005-0000-0000-0000F0030000}"/>
    <cellStyle name="40% - Accent1 3 4 2" xfId="1009" xr:uid="{00000000-0005-0000-0000-0000F1030000}"/>
    <cellStyle name="40% - Accent1 3 4 2 2" xfId="1010" xr:uid="{00000000-0005-0000-0000-0000F2030000}"/>
    <cellStyle name="40% - Accent1 3 4 3" xfId="1011" xr:uid="{00000000-0005-0000-0000-0000F3030000}"/>
    <cellStyle name="40% - Accent1 3 5" xfId="1012" xr:uid="{00000000-0005-0000-0000-0000F4030000}"/>
    <cellStyle name="40% - Accent1 4" xfId="1013" xr:uid="{00000000-0005-0000-0000-0000F5030000}"/>
    <cellStyle name="40% - Accent1 4 2" xfId="1014" xr:uid="{00000000-0005-0000-0000-0000F6030000}"/>
    <cellStyle name="40% - Accent1 4 2 2" xfId="1015" xr:uid="{00000000-0005-0000-0000-0000F7030000}"/>
    <cellStyle name="40% - Accent1 4 3" xfId="1016" xr:uid="{00000000-0005-0000-0000-0000F8030000}"/>
    <cellStyle name="40% - Accent1 4 3 2" xfId="1017" xr:uid="{00000000-0005-0000-0000-0000F9030000}"/>
    <cellStyle name="40% - Accent1 4 3 2 2" xfId="1018" xr:uid="{00000000-0005-0000-0000-0000FA030000}"/>
    <cellStyle name="40% - Accent1 4 3 3" xfId="1019" xr:uid="{00000000-0005-0000-0000-0000FB030000}"/>
    <cellStyle name="40% - Accent1 4 4" xfId="1020" xr:uid="{00000000-0005-0000-0000-0000FC030000}"/>
    <cellStyle name="40% - Accent1 5" xfId="1021" xr:uid="{00000000-0005-0000-0000-0000FD030000}"/>
    <cellStyle name="40% - Accent1 5 2" xfId="1022" xr:uid="{00000000-0005-0000-0000-0000FE030000}"/>
    <cellStyle name="40% - Accent1 5 2 2" xfId="1023" xr:uid="{00000000-0005-0000-0000-0000FF030000}"/>
    <cellStyle name="40% - Accent1 5 2 2 2" xfId="1024" xr:uid="{00000000-0005-0000-0000-000000040000}"/>
    <cellStyle name="40% - Accent1 5 2 3" xfId="1025" xr:uid="{00000000-0005-0000-0000-000001040000}"/>
    <cellStyle name="40% - Accent1 5 3" xfId="1026" xr:uid="{00000000-0005-0000-0000-000002040000}"/>
    <cellStyle name="40% - Accent1 5 3 2" xfId="1027" xr:uid="{00000000-0005-0000-0000-000003040000}"/>
    <cellStyle name="40% - Accent1 5 3 2 2" xfId="1028" xr:uid="{00000000-0005-0000-0000-000004040000}"/>
    <cellStyle name="40% - Accent1 5 3 2 2 2" xfId="1029" xr:uid="{00000000-0005-0000-0000-000005040000}"/>
    <cellStyle name="40% - Accent1 5 3 2 3" xfId="1030" xr:uid="{00000000-0005-0000-0000-000006040000}"/>
    <cellStyle name="40% - Accent1 5 3 3" xfId="1031" xr:uid="{00000000-0005-0000-0000-000007040000}"/>
    <cellStyle name="40% - Accent1 5 3 3 2" xfId="1032" xr:uid="{00000000-0005-0000-0000-000008040000}"/>
    <cellStyle name="40% - Accent1 5 3 4" xfId="1033" xr:uid="{00000000-0005-0000-0000-000009040000}"/>
    <cellStyle name="40% - Accent1 5 4" xfId="1034" xr:uid="{00000000-0005-0000-0000-00000A040000}"/>
    <cellStyle name="40% - Accent1 5 4 2" xfId="1035" xr:uid="{00000000-0005-0000-0000-00000B040000}"/>
    <cellStyle name="40% - Accent1 5 5" xfId="1036" xr:uid="{00000000-0005-0000-0000-00000C040000}"/>
    <cellStyle name="40% - Accent1 6" xfId="1037" xr:uid="{00000000-0005-0000-0000-00000D040000}"/>
    <cellStyle name="40% - Accent1 6 2" xfId="1038" xr:uid="{00000000-0005-0000-0000-00000E040000}"/>
    <cellStyle name="40% - Accent1 6 2 2" xfId="1039" xr:uid="{00000000-0005-0000-0000-00000F040000}"/>
    <cellStyle name="40% - Accent1 6 2 2 2" xfId="1040" xr:uid="{00000000-0005-0000-0000-000010040000}"/>
    <cellStyle name="40% - Accent1 6 2 3" xfId="1041" xr:uid="{00000000-0005-0000-0000-000011040000}"/>
    <cellStyle name="40% - Accent1 6 3" xfId="1042" xr:uid="{00000000-0005-0000-0000-000012040000}"/>
    <cellStyle name="40% - Accent1 6 3 2" xfId="1043" xr:uid="{00000000-0005-0000-0000-000013040000}"/>
    <cellStyle name="40% - Accent1 6 4" xfId="1044" xr:uid="{00000000-0005-0000-0000-000014040000}"/>
    <cellStyle name="40% - Accent1 7" xfId="1045" xr:uid="{00000000-0005-0000-0000-000015040000}"/>
    <cellStyle name="40% - Accent1 8" xfId="1046" xr:uid="{00000000-0005-0000-0000-000016040000}"/>
    <cellStyle name="40% - Accent2 2" xfId="1047" xr:uid="{00000000-0005-0000-0000-000017040000}"/>
    <cellStyle name="40% - Accent2 2 10" xfId="1048" xr:uid="{00000000-0005-0000-0000-000018040000}"/>
    <cellStyle name="40% - Accent2 2 10 2" xfId="1049" xr:uid="{00000000-0005-0000-0000-000019040000}"/>
    <cellStyle name="40% - Accent2 2 11" xfId="1050" xr:uid="{00000000-0005-0000-0000-00001A040000}"/>
    <cellStyle name="40% - Accent2 2 2" xfId="1051" xr:uid="{00000000-0005-0000-0000-00001B040000}"/>
    <cellStyle name="40% - Accent2 2 2 2" xfId="1052" xr:uid="{00000000-0005-0000-0000-00001C040000}"/>
    <cellStyle name="40% - Accent2 2 2 2 2" xfId="1053" xr:uid="{00000000-0005-0000-0000-00001D040000}"/>
    <cellStyle name="40% - Accent2 2 2 2 2 2" xfId="1054" xr:uid="{00000000-0005-0000-0000-00001E040000}"/>
    <cellStyle name="40% - Accent2 2 2 2 3" xfId="1055" xr:uid="{00000000-0005-0000-0000-00001F040000}"/>
    <cellStyle name="40% - Accent2 2 2 2 3 2" xfId="1056" xr:uid="{00000000-0005-0000-0000-000020040000}"/>
    <cellStyle name="40% - Accent2 2 2 2 3 2 2" xfId="1057" xr:uid="{00000000-0005-0000-0000-000021040000}"/>
    <cellStyle name="40% - Accent2 2 2 2 3 3" xfId="1058" xr:uid="{00000000-0005-0000-0000-000022040000}"/>
    <cellStyle name="40% - Accent2 2 2 2 4" xfId="1059" xr:uid="{00000000-0005-0000-0000-000023040000}"/>
    <cellStyle name="40% - Accent2 2 2 3" xfId="1060" xr:uid="{00000000-0005-0000-0000-000024040000}"/>
    <cellStyle name="40% - Accent2 2 2 3 2" xfId="1061" xr:uid="{00000000-0005-0000-0000-000025040000}"/>
    <cellStyle name="40% - Accent2 2 2 3 2 2" xfId="1062" xr:uid="{00000000-0005-0000-0000-000026040000}"/>
    <cellStyle name="40% - Accent2 2 2 3 3" xfId="1063" xr:uid="{00000000-0005-0000-0000-000027040000}"/>
    <cellStyle name="40% - Accent2 2 2 4" xfId="1064" xr:uid="{00000000-0005-0000-0000-000028040000}"/>
    <cellStyle name="40% - Accent2 2 2 4 2" xfId="1065" xr:uid="{00000000-0005-0000-0000-000029040000}"/>
    <cellStyle name="40% - Accent2 2 2 4 2 2" xfId="1066" xr:uid="{00000000-0005-0000-0000-00002A040000}"/>
    <cellStyle name="40% - Accent2 2 2 4 2 2 2" xfId="1067" xr:uid="{00000000-0005-0000-0000-00002B040000}"/>
    <cellStyle name="40% - Accent2 2 2 4 2 3" xfId="1068" xr:uid="{00000000-0005-0000-0000-00002C040000}"/>
    <cellStyle name="40% - Accent2 2 2 4 3" xfId="1069" xr:uid="{00000000-0005-0000-0000-00002D040000}"/>
    <cellStyle name="40% - Accent2 2 2 4 3 2" xfId="1070" xr:uid="{00000000-0005-0000-0000-00002E040000}"/>
    <cellStyle name="40% - Accent2 2 2 4 4" xfId="1071" xr:uid="{00000000-0005-0000-0000-00002F040000}"/>
    <cellStyle name="40% - Accent2 2 2 5" xfId="1072" xr:uid="{00000000-0005-0000-0000-000030040000}"/>
    <cellStyle name="40% - Accent2 2 2 5 2" xfId="1073" xr:uid="{00000000-0005-0000-0000-000031040000}"/>
    <cellStyle name="40% - Accent2 2 2 6" xfId="1074" xr:uid="{00000000-0005-0000-0000-000032040000}"/>
    <cellStyle name="40% - Accent2 2 3" xfId="1075" xr:uid="{00000000-0005-0000-0000-000033040000}"/>
    <cellStyle name="40% - Accent2 2 3 2" xfId="1076" xr:uid="{00000000-0005-0000-0000-000034040000}"/>
    <cellStyle name="40% - Accent2 2 3 2 2" xfId="1077" xr:uid="{00000000-0005-0000-0000-000035040000}"/>
    <cellStyle name="40% - Accent2 2 3 2 2 2" xfId="1078" xr:uid="{00000000-0005-0000-0000-000036040000}"/>
    <cellStyle name="40% - Accent2 2 3 2 3" xfId="1079" xr:uid="{00000000-0005-0000-0000-000037040000}"/>
    <cellStyle name="40% - Accent2 2 3 3" xfId="1080" xr:uid="{00000000-0005-0000-0000-000038040000}"/>
    <cellStyle name="40% - Accent2 2 3 3 2" xfId="1081" xr:uid="{00000000-0005-0000-0000-000039040000}"/>
    <cellStyle name="40% - Accent2 2 3 3 2 2" xfId="1082" xr:uid="{00000000-0005-0000-0000-00003A040000}"/>
    <cellStyle name="40% - Accent2 2 3 3 2 2 2" xfId="1083" xr:uid="{00000000-0005-0000-0000-00003B040000}"/>
    <cellStyle name="40% - Accent2 2 3 3 2 3" xfId="1084" xr:uid="{00000000-0005-0000-0000-00003C040000}"/>
    <cellStyle name="40% - Accent2 2 3 3 3" xfId="1085" xr:uid="{00000000-0005-0000-0000-00003D040000}"/>
    <cellStyle name="40% - Accent2 2 3 3 3 2" xfId="1086" xr:uid="{00000000-0005-0000-0000-00003E040000}"/>
    <cellStyle name="40% - Accent2 2 3 3 4" xfId="1087" xr:uid="{00000000-0005-0000-0000-00003F040000}"/>
    <cellStyle name="40% - Accent2 2 3 4" xfId="1088" xr:uid="{00000000-0005-0000-0000-000040040000}"/>
    <cellStyle name="40% - Accent2 2 3 4 2" xfId="1089" xr:uid="{00000000-0005-0000-0000-000041040000}"/>
    <cellStyle name="40% - Accent2 2 3 5" xfId="1090" xr:uid="{00000000-0005-0000-0000-000042040000}"/>
    <cellStyle name="40% - Accent2 2 4" xfId="1091" xr:uid="{00000000-0005-0000-0000-000043040000}"/>
    <cellStyle name="40% - Accent2 2 4 2" xfId="1092" xr:uid="{00000000-0005-0000-0000-000044040000}"/>
    <cellStyle name="40% - Accent2 2 4 2 2" xfId="1093" xr:uid="{00000000-0005-0000-0000-000045040000}"/>
    <cellStyle name="40% - Accent2 2 4 2 2 2" xfId="1094" xr:uid="{00000000-0005-0000-0000-000046040000}"/>
    <cellStyle name="40% - Accent2 2 4 2 3" xfId="1095" xr:uid="{00000000-0005-0000-0000-000047040000}"/>
    <cellStyle name="40% - Accent2 2 4 3" xfId="1096" xr:uid="{00000000-0005-0000-0000-000048040000}"/>
    <cellStyle name="40% - Accent2 2 4 3 2" xfId="1097" xr:uid="{00000000-0005-0000-0000-000049040000}"/>
    <cellStyle name="40% - Accent2 2 4 4" xfId="1098" xr:uid="{00000000-0005-0000-0000-00004A040000}"/>
    <cellStyle name="40% - Accent2 2 5" xfId="1099" xr:uid="{00000000-0005-0000-0000-00004B040000}"/>
    <cellStyle name="40% - Accent2 2 5 2" xfId="1100" xr:uid="{00000000-0005-0000-0000-00004C040000}"/>
    <cellStyle name="40% - Accent2 2 5 2 2" xfId="1101" xr:uid="{00000000-0005-0000-0000-00004D040000}"/>
    <cellStyle name="40% - Accent2 2 5 2 2 2" xfId="1102" xr:uid="{00000000-0005-0000-0000-00004E040000}"/>
    <cellStyle name="40% - Accent2 2 5 2 3" xfId="1103" xr:uid="{00000000-0005-0000-0000-00004F040000}"/>
    <cellStyle name="40% - Accent2 2 5 3" xfId="1104" xr:uid="{00000000-0005-0000-0000-000050040000}"/>
    <cellStyle name="40% - Accent2 2 5 3 2" xfId="1105" xr:uid="{00000000-0005-0000-0000-000051040000}"/>
    <cellStyle name="40% - Accent2 2 5 3 2 2" xfId="1106" xr:uid="{00000000-0005-0000-0000-000052040000}"/>
    <cellStyle name="40% - Accent2 2 5 3 2 2 2" xfId="1107" xr:uid="{00000000-0005-0000-0000-000053040000}"/>
    <cellStyle name="40% - Accent2 2 5 3 2 3" xfId="1108" xr:uid="{00000000-0005-0000-0000-000054040000}"/>
    <cellStyle name="40% - Accent2 2 5 3 3" xfId="1109" xr:uid="{00000000-0005-0000-0000-000055040000}"/>
    <cellStyle name="40% - Accent2 2 5 3 3 2" xfId="1110" xr:uid="{00000000-0005-0000-0000-000056040000}"/>
    <cellStyle name="40% - Accent2 2 5 3 4" xfId="1111" xr:uid="{00000000-0005-0000-0000-000057040000}"/>
    <cellStyle name="40% - Accent2 2 5 4" xfId="1112" xr:uid="{00000000-0005-0000-0000-000058040000}"/>
    <cellStyle name="40% - Accent2 2 5 4 2" xfId="1113" xr:uid="{00000000-0005-0000-0000-000059040000}"/>
    <cellStyle name="40% - Accent2 2 5 5" xfId="1114" xr:uid="{00000000-0005-0000-0000-00005A040000}"/>
    <cellStyle name="40% - Accent2 2 6" xfId="1115" xr:uid="{00000000-0005-0000-0000-00005B040000}"/>
    <cellStyle name="40% - Accent2 2 6 2" xfId="1116" xr:uid="{00000000-0005-0000-0000-00005C040000}"/>
    <cellStyle name="40% - Accent2 2 6 2 2" xfId="1117" xr:uid="{00000000-0005-0000-0000-00005D040000}"/>
    <cellStyle name="40% - Accent2 2 6 3" xfId="1118" xr:uid="{00000000-0005-0000-0000-00005E040000}"/>
    <cellStyle name="40% - Accent2 2 7" xfId="1119" xr:uid="{00000000-0005-0000-0000-00005F040000}"/>
    <cellStyle name="40% - Accent2 2 7 2" xfId="1120" xr:uid="{00000000-0005-0000-0000-000060040000}"/>
    <cellStyle name="40% - Accent2 2 7 2 2" xfId="1121" xr:uid="{00000000-0005-0000-0000-000061040000}"/>
    <cellStyle name="40% - Accent2 2 7 3" xfId="1122" xr:uid="{00000000-0005-0000-0000-000062040000}"/>
    <cellStyle name="40% - Accent2 2 8" xfId="1123" xr:uid="{00000000-0005-0000-0000-000063040000}"/>
    <cellStyle name="40% - Accent2 2 8 2" xfId="1124" xr:uid="{00000000-0005-0000-0000-000064040000}"/>
    <cellStyle name="40% - Accent2 2 8 2 2" xfId="1125" xr:uid="{00000000-0005-0000-0000-000065040000}"/>
    <cellStyle name="40% - Accent2 2 8 2 2 2" xfId="1126" xr:uid="{00000000-0005-0000-0000-000066040000}"/>
    <cellStyle name="40% - Accent2 2 8 2 3" xfId="1127" xr:uid="{00000000-0005-0000-0000-000067040000}"/>
    <cellStyle name="40% - Accent2 2 8 3" xfId="1128" xr:uid="{00000000-0005-0000-0000-000068040000}"/>
    <cellStyle name="40% - Accent2 2 8 3 2" xfId="1129" xr:uid="{00000000-0005-0000-0000-000069040000}"/>
    <cellStyle name="40% - Accent2 2 8 4" xfId="1130" xr:uid="{00000000-0005-0000-0000-00006A040000}"/>
    <cellStyle name="40% - Accent2 2 9" xfId="1131" xr:uid="{00000000-0005-0000-0000-00006B040000}"/>
    <cellStyle name="40% - Accent2 2 9 2" xfId="1132" xr:uid="{00000000-0005-0000-0000-00006C040000}"/>
    <cellStyle name="40% - Accent2 3" xfId="1133" xr:uid="{00000000-0005-0000-0000-00006D040000}"/>
    <cellStyle name="40% - Accent2 3 2" xfId="1134" xr:uid="{00000000-0005-0000-0000-00006E040000}"/>
    <cellStyle name="40% - Accent2 3 2 2" xfId="1135" xr:uid="{00000000-0005-0000-0000-00006F040000}"/>
    <cellStyle name="40% - Accent2 3 2 2 2" xfId="1136" xr:uid="{00000000-0005-0000-0000-000070040000}"/>
    <cellStyle name="40% - Accent2 3 2 3" xfId="1137" xr:uid="{00000000-0005-0000-0000-000071040000}"/>
    <cellStyle name="40% - Accent2 3 3" xfId="1138" xr:uid="{00000000-0005-0000-0000-000072040000}"/>
    <cellStyle name="40% - Accent2 3 3 2" xfId="1139" xr:uid="{00000000-0005-0000-0000-000073040000}"/>
    <cellStyle name="40% - Accent2 3 4" xfId="1140" xr:uid="{00000000-0005-0000-0000-000074040000}"/>
    <cellStyle name="40% - Accent2 3 4 2" xfId="1141" xr:uid="{00000000-0005-0000-0000-000075040000}"/>
    <cellStyle name="40% - Accent2 3 4 2 2" xfId="1142" xr:uid="{00000000-0005-0000-0000-000076040000}"/>
    <cellStyle name="40% - Accent2 3 4 3" xfId="1143" xr:uid="{00000000-0005-0000-0000-000077040000}"/>
    <cellStyle name="40% - Accent2 3 5" xfId="1144" xr:uid="{00000000-0005-0000-0000-000078040000}"/>
    <cellStyle name="40% - Accent2 4" xfId="1145" xr:uid="{00000000-0005-0000-0000-000079040000}"/>
    <cellStyle name="40% - Accent2 4 2" xfId="1146" xr:uid="{00000000-0005-0000-0000-00007A040000}"/>
    <cellStyle name="40% - Accent2 4 2 2" xfId="1147" xr:uid="{00000000-0005-0000-0000-00007B040000}"/>
    <cellStyle name="40% - Accent2 4 3" xfId="1148" xr:uid="{00000000-0005-0000-0000-00007C040000}"/>
    <cellStyle name="40% - Accent2 4 3 2" xfId="1149" xr:uid="{00000000-0005-0000-0000-00007D040000}"/>
    <cellStyle name="40% - Accent2 4 3 2 2" xfId="1150" xr:uid="{00000000-0005-0000-0000-00007E040000}"/>
    <cellStyle name="40% - Accent2 4 3 3" xfId="1151" xr:uid="{00000000-0005-0000-0000-00007F040000}"/>
    <cellStyle name="40% - Accent2 4 4" xfId="1152" xr:uid="{00000000-0005-0000-0000-000080040000}"/>
    <cellStyle name="40% - Accent2 5" xfId="1153" xr:uid="{00000000-0005-0000-0000-000081040000}"/>
    <cellStyle name="40% - Accent2 5 2" xfId="1154" xr:uid="{00000000-0005-0000-0000-000082040000}"/>
    <cellStyle name="40% - Accent2 5 2 2" xfId="1155" xr:uid="{00000000-0005-0000-0000-000083040000}"/>
    <cellStyle name="40% - Accent2 5 2 2 2" xfId="1156" xr:uid="{00000000-0005-0000-0000-000084040000}"/>
    <cellStyle name="40% - Accent2 5 2 3" xfId="1157" xr:uid="{00000000-0005-0000-0000-000085040000}"/>
    <cellStyle name="40% - Accent2 5 3" xfId="1158" xr:uid="{00000000-0005-0000-0000-000086040000}"/>
    <cellStyle name="40% - Accent2 5 3 2" xfId="1159" xr:uid="{00000000-0005-0000-0000-000087040000}"/>
    <cellStyle name="40% - Accent2 5 3 2 2" xfId="1160" xr:uid="{00000000-0005-0000-0000-000088040000}"/>
    <cellStyle name="40% - Accent2 5 3 2 2 2" xfId="1161" xr:uid="{00000000-0005-0000-0000-000089040000}"/>
    <cellStyle name="40% - Accent2 5 3 2 3" xfId="1162" xr:uid="{00000000-0005-0000-0000-00008A040000}"/>
    <cellStyle name="40% - Accent2 5 3 3" xfId="1163" xr:uid="{00000000-0005-0000-0000-00008B040000}"/>
    <cellStyle name="40% - Accent2 5 3 3 2" xfId="1164" xr:uid="{00000000-0005-0000-0000-00008C040000}"/>
    <cellStyle name="40% - Accent2 5 3 4" xfId="1165" xr:uid="{00000000-0005-0000-0000-00008D040000}"/>
    <cellStyle name="40% - Accent2 5 4" xfId="1166" xr:uid="{00000000-0005-0000-0000-00008E040000}"/>
    <cellStyle name="40% - Accent2 5 4 2" xfId="1167" xr:uid="{00000000-0005-0000-0000-00008F040000}"/>
    <cellStyle name="40% - Accent2 5 5" xfId="1168" xr:uid="{00000000-0005-0000-0000-000090040000}"/>
    <cellStyle name="40% - Accent2 6" xfId="1169" xr:uid="{00000000-0005-0000-0000-000091040000}"/>
    <cellStyle name="40% - Accent2 6 2" xfId="1170" xr:uid="{00000000-0005-0000-0000-000092040000}"/>
    <cellStyle name="40% - Accent2 6 2 2" xfId="1171" xr:uid="{00000000-0005-0000-0000-000093040000}"/>
    <cellStyle name="40% - Accent2 6 2 2 2" xfId="1172" xr:uid="{00000000-0005-0000-0000-000094040000}"/>
    <cellStyle name="40% - Accent2 6 2 3" xfId="1173" xr:uid="{00000000-0005-0000-0000-000095040000}"/>
    <cellStyle name="40% - Accent2 6 3" xfId="1174" xr:uid="{00000000-0005-0000-0000-000096040000}"/>
    <cellStyle name="40% - Accent2 6 3 2" xfId="1175" xr:uid="{00000000-0005-0000-0000-000097040000}"/>
    <cellStyle name="40% - Accent2 6 4" xfId="1176" xr:uid="{00000000-0005-0000-0000-000098040000}"/>
    <cellStyle name="40% - Accent2 7" xfId="1177" xr:uid="{00000000-0005-0000-0000-000099040000}"/>
    <cellStyle name="40% - Accent2 8" xfId="1178" xr:uid="{00000000-0005-0000-0000-00009A040000}"/>
    <cellStyle name="40% - Accent3 2" xfId="1179" xr:uid="{00000000-0005-0000-0000-00009B040000}"/>
    <cellStyle name="40% - Accent3 2 10" xfId="1180" xr:uid="{00000000-0005-0000-0000-00009C040000}"/>
    <cellStyle name="40% - Accent3 2 10 2" xfId="1181" xr:uid="{00000000-0005-0000-0000-00009D040000}"/>
    <cellStyle name="40% - Accent3 2 11" xfId="1182" xr:uid="{00000000-0005-0000-0000-00009E040000}"/>
    <cellStyle name="40% - Accent3 2 2" xfId="1183" xr:uid="{00000000-0005-0000-0000-00009F040000}"/>
    <cellStyle name="40% - Accent3 2 2 2" xfId="1184" xr:uid="{00000000-0005-0000-0000-0000A0040000}"/>
    <cellStyle name="40% - Accent3 2 2 2 2" xfId="1185" xr:uid="{00000000-0005-0000-0000-0000A1040000}"/>
    <cellStyle name="40% - Accent3 2 2 2 2 2" xfId="1186" xr:uid="{00000000-0005-0000-0000-0000A2040000}"/>
    <cellStyle name="40% - Accent3 2 2 2 3" xfId="1187" xr:uid="{00000000-0005-0000-0000-0000A3040000}"/>
    <cellStyle name="40% - Accent3 2 2 2 3 2" xfId="1188" xr:uid="{00000000-0005-0000-0000-0000A4040000}"/>
    <cellStyle name="40% - Accent3 2 2 2 3 2 2" xfId="1189" xr:uid="{00000000-0005-0000-0000-0000A5040000}"/>
    <cellStyle name="40% - Accent3 2 2 2 3 3" xfId="1190" xr:uid="{00000000-0005-0000-0000-0000A6040000}"/>
    <cellStyle name="40% - Accent3 2 2 2 4" xfId="1191" xr:uid="{00000000-0005-0000-0000-0000A7040000}"/>
    <cellStyle name="40% - Accent3 2 2 3" xfId="1192" xr:uid="{00000000-0005-0000-0000-0000A8040000}"/>
    <cellStyle name="40% - Accent3 2 2 3 2" xfId="1193" xr:uid="{00000000-0005-0000-0000-0000A9040000}"/>
    <cellStyle name="40% - Accent3 2 2 3 2 2" xfId="1194" xr:uid="{00000000-0005-0000-0000-0000AA040000}"/>
    <cellStyle name="40% - Accent3 2 2 3 3" xfId="1195" xr:uid="{00000000-0005-0000-0000-0000AB040000}"/>
    <cellStyle name="40% - Accent3 2 2 4" xfId="1196" xr:uid="{00000000-0005-0000-0000-0000AC040000}"/>
    <cellStyle name="40% - Accent3 2 2 4 2" xfId="1197" xr:uid="{00000000-0005-0000-0000-0000AD040000}"/>
    <cellStyle name="40% - Accent3 2 2 4 2 2" xfId="1198" xr:uid="{00000000-0005-0000-0000-0000AE040000}"/>
    <cellStyle name="40% - Accent3 2 2 4 2 2 2" xfId="1199" xr:uid="{00000000-0005-0000-0000-0000AF040000}"/>
    <cellStyle name="40% - Accent3 2 2 4 2 3" xfId="1200" xr:uid="{00000000-0005-0000-0000-0000B0040000}"/>
    <cellStyle name="40% - Accent3 2 2 4 3" xfId="1201" xr:uid="{00000000-0005-0000-0000-0000B1040000}"/>
    <cellStyle name="40% - Accent3 2 2 4 3 2" xfId="1202" xr:uid="{00000000-0005-0000-0000-0000B2040000}"/>
    <cellStyle name="40% - Accent3 2 2 4 4" xfId="1203" xr:uid="{00000000-0005-0000-0000-0000B3040000}"/>
    <cellStyle name="40% - Accent3 2 2 5" xfId="1204" xr:uid="{00000000-0005-0000-0000-0000B4040000}"/>
    <cellStyle name="40% - Accent3 2 2 5 2" xfId="1205" xr:uid="{00000000-0005-0000-0000-0000B5040000}"/>
    <cellStyle name="40% - Accent3 2 2 6" xfId="1206" xr:uid="{00000000-0005-0000-0000-0000B6040000}"/>
    <cellStyle name="40% - Accent3 2 3" xfId="1207" xr:uid="{00000000-0005-0000-0000-0000B7040000}"/>
    <cellStyle name="40% - Accent3 2 3 2" xfId="1208" xr:uid="{00000000-0005-0000-0000-0000B8040000}"/>
    <cellStyle name="40% - Accent3 2 3 2 2" xfId="1209" xr:uid="{00000000-0005-0000-0000-0000B9040000}"/>
    <cellStyle name="40% - Accent3 2 3 2 2 2" xfId="1210" xr:uid="{00000000-0005-0000-0000-0000BA040000}"/>
    <cellStyle name="40% - Accent3 2 3 2 3" xfId="1211" xr:uid="{00000000-0005-0000-0000-0000BB040000}"/>
    <cellStyle name="40% - Accent3 2 3 3" xfId="1212" xr:uid="{00000000-0005-0000-0000-0000BC040000}"/>
    <cellStyle name="40% - Accent3 2 3 3 2" xfId="1213" xr:uid="{00000000-0005-0000-0000-0000BD040000}"/>
    <cellStyle name="40% - Accent3 2 3 3 2 2" xfId="1214" xr:uid="{00000000-0005-0000-0000-0000BE040000}"/>
    <cellStyle name="40% - Accent3 2 3 3 2 2 2" xfId="1215" xr:uid="{00000000-0005-0000-0000-0000BF040000}"/>
    <cellStyle name="40% - Accent3 2 3 3 2 3" xfId="1216" xr:uid="{00000000-0005-0000-0000-0000C0040000}"/>
    <cellStyle name="40% - Accent3 2 3 3 3" xfId="1217" xr:uid="{00000000-0005-0000-0000-0000C1040000}"/>
    <cellStyle name="40% - Accent3 2 3 3 3 2" xfId="1218" xr:uid="{00000000-0005-0000-0000-0000C2040000}"/>
    <cellStyle name="40% - Accent3 2 3 3 4" xfId="1219" xr:uid="{00000000-0005-0000-0000-0000C3040000}"/>
    <cellStyle name="40% - Accent3 2 3 4" xfId="1220" xr:uid="{00000000-0005-0000-0000-0000C4040000}"/>
    <cellStyle name="40% - Accent3 2 3 4 2" xfId="1221" xr:uid="{00000000-0005-0000-0000-0000C5040000}"/>
    <cellStyle name="40% - Accent3 2 3 5" xfId="1222" xr:uid="{00000000-0005-0000-0000-0000C6040000}"/>
    <cellStyle name="40% - Accent3 2 4" xfId="1223" xr:uid="{00000000-0005-0000-0000-0000C7040000}"/>
    <cellStyle name="40% - Accent3 2 4 2" xfId="1224" xr:uid="{00000000-0005-0000-0000-0000C8040000}"/>
    <cellStyle name="40% - Accent3 2 4 2 2" xfId="1225" xr:uid="{00000000-0005-0000-0000-0000C9040000}"/>
    <cellStyle name="40% - Accent3 2 4 2 2 2" xfId="1226" xr:uid="{00000000-0005-0000-0000-0000CA040000}"/>
    <cellStyle name="40% - Accent3 2 4 2 3" xfId="1227" xr:uid="{00000000-0005-0000-0000-0000CB040000}"/>
    <cellStyle name="40% - Accent3 2 4 3" xfId="1228" xr:uid="{00000000-0005-0000-0000-0000CC040000}"/>
    <cellStyle name="40% - Accent3 2 4 3 2" xfId="1229" xr:uid="{00000000-0005-0000-0000-0000CD040000}"/>
    <cellStyle name="40% - Accent3 2 4 4" xfId="1230" xr:uid="{00000000-0005-0000-0000-0000CE040000}"/>
    <cellStyle name="40% - Accent3 2 5" xfId="1231" xr:uid="{00000000-0005-0000-0000-0000CF040000}"/>
    <cellStyle name="40% - Accent3 2 5 2" xfId="1232" xr:uid="{00000000-0005-0000-0000-0000D0040000}"/>
    <cellStyle name="40% - Accent3 2 5 2 2" xfId="1233" xr:uid="{00000000-0005-0000-0000-0000D1040000}"/>
    <cellStyle name="40% - Accent3 2 5 2 2 2" xfId="1234" xr:uid="{00000000-0005-0000-0000-0000D2040000}"/>
    <cellStyle name="40% - Accent3 2 5 2 3" xfId="1235" xr:uid="{00000000-0005-0000-0000-0000D3040000}"/>
    <cellStyle name="40% - Accent3 2 5 3" xfId="1236" xr:uid="{00000000-0005-0000-0000-0000D4040000}"/>
    <cellStyle name="40% - Accent3 2 5 3 2" xfId="1237" xr:uid="{00000000-0005-0000-0000-0000D5040000}"/>
    <cellStyle name="40% - Accent3 2 5 3 2 2" xfId="1238" xr:uid="{00000000-0005-0000-0000-0000D6040000}"/>
    <cellStyle name="40% - Accent3 2 5 3 2 2 2" xfId="1239" xr:uid="{00000000-0005-0000-0000-0000D7040000}"/>
    <cellStyle name="40% - Accent3 2 5 3 2 3" xfId="1240" xr:uid="{00000000-0005-0000-0000-0000D8040000}"/>
    <cellStyle name="40% - Accent3 2 5 3 3" xfId="1241" xr:uid="{00000000-0005-0000-0000-0000D9040000}"/>
    <cellStyle name="40% - Accent3 2 5 3 3 2" xfId="1242" xr:uid="{00000000-0005-0000-0000-0000DA040000}"/>
    <cellStyle name="40% - Accent3 2 5 3 4" xfId="1243" xr:uid="{00000000-0005-0000-0000-0000DB040000}"/>
    <cellStyle name="40% - Accent3 2 5 4" xfId="1244" xr:uid="{00000000-0005-0000-0000-0000DC040000}"/>
    <cellStyle name="40% - Accent3 2 5 4 2" xfId="1245" xr:uid="{00000000-0005-0000-0000-0000DD040000}"/>
    <cellStyle name="40% - Accent3 2 5 5" xfId="1246" xr:uid="{00000000-0005-0000-0000-0000DE040000}"/>
    <cellStyle name="40% - Accent3 2 6" xfId="1247" xr:uid="{00000000-0005-0000-0000-0000DF040000}"/>
    <cellStyle name="40% - Accent3 2 6 2" xfId="1248" xr:uid="{00000000-0005-0000-0000-0000E0040000}"/>
    <cellStyle name="40% - Accent3 2 6 2 2" xfId="1249" xr:uid="{00000000-0005-0000-0000-0000E1040000}"/>
    <cellStyle name="40% - Accent3 2 6 3" xfId="1250" xr:uid="{00000000-0005-0000-0000-0000E2040000}"/>
    <cellStyle name="40% - Accent3 2 7" xfId="1251" xr:uid="{00000000-0005-0000-0000-0000E3040000}"/>
    <cellStyle name="40% - Accent3 2 7 2" xfId="1252" xr:uid="{00000000-0005-0000-0000-0000E4040000}"/>
    <cellStyle name="40% - Accent3 2 7 2 2" xfId="1253" xr:uid="{00000000-0005-0000-0000-0000E5040000}"/>
    <cellStyle name="40% - Accent3 2 7 3" xfId="1254" xr:uid="{00000000-0005-0000-0000-0000E6040000}"/>
    <cellStyle name="40% - Accent3 2 8" xfId="1255" xr:uid="{00000000-0005-0000-0000-0000E7040000}"/>
    <cellStyle name="40% - Accent3 2 8 2" xfId="1256" xr:uid="{00000000-0005-0000-0000-0000E8040000}"/>
    <cellStyle name="40% - Accent3 2 8 2 2" xfId="1257" xr:uid="{00000000-0005-0000-0000-0000E9040000}"/>
    <cellStyle name="40% - Accent3 2 8 2 2 2" xfId="1258" xr:uid="{00000000-0005-0000-0000-0000EA040000}"/>
    <cellStyle name="40% - Accent3 2 8 2 3" xfId="1259" xr:uid="{00000000-0005-0000-0000-0000EB040000}"/>
    <cellStyle name="40% - Accent3 2 8 3" xfId="1260" xr:uid="{00000000-0005-0000-0000-0000EC040000}"/>
    <cellStyle name="40% - Accent3 2 8 3 2" xfId="1261" xr:uid="{00000000-0005-0000-0000-0000ED040000}"/>
    <cellStyle name="40% - Accent3 2 8 4" xfId="1262" xr:uid="{00000000-0005-0000-0000-0000EE040000}"/>
    <cellStyle name="40% - Accent3 2 9" xfId="1263" xr:uid="{00000000-0005-0000-0000-0000EF040000}"/>
    <cellStyle name="40% - Accent3 2 9 2" xfId="1264" xr:uid="{00000000-0005-0000-0000-0000F0040000}"/>
    <cellStyle name="40% - Accent3 3" xfId="1265" xr:uid="{00000000-0005-0000-0000-0000F1040000}"/>
    <cellStyle name="40% - Accent3 3 2" xfId="1266" xr:uid="{00000000-0005-0000-0000-0000F2040000}"/>
    <cellStyle name="40% - Accent3 3 2 2" xfId="1267" xr:uid="{00000000-0005-0000-0000-0000F3040000}"/>
    <cellStyle name="40% - Accent3 3 2 2 2" xfId="1268" xr:uid="{00000000-0005-0000-0000-0000F4040000}"/>
    <cellStyle name="40% - Accent3 3 2 3" xfId="1269" xr:uid="{00000000-0005-0000-0000-0000F5040000}"/>
    <cellStyle name="40% - Accent3 3 3" xfId="1270" xr:uid="{00000000-0005-0000-0000-0000F6040000}"/>
    <cellStyle name="40% - Accent3 3 3 2" xfId="1271" xr:uid="{00000000-0005-0000-0000-0000F7040000}"/>
    <cellStyle name="40% - Accent3 3 4" xfId="1272" xr:uid="{00000000-0005-0000-0000-0000F8040000}"/>
    <cellStyle name="40% - Accent3 3 4 2" xfId="1273" xr:uid="{00000000-0005-0000-0000-0000F9040000}"/>
    <cellStyle name="40% - Accent3 3 4 2 2" xfId="1274" xr:uid="{00000000-0005-0000-0000-0000FA040000}"/>
    <cellStyle name="40% - Accent3 3 4 3" xfId="1275" xr:uid="{00000000-0005-0000-0000-0000FB040000}"/>
    <cellStyle name="40% - Accent3 3 5" xfId="1276" xr:uid="{00000000-0005-0000-0000-0000FC040000}"/>
    <cellStyle name="40% - Accent3 4" xfId="1277" xr:uid="{00000000-0005-0000-0000-0000FD040000}"/>
    <cellStyle name="40% - Accent3 4 2" xfId="1278" xr:uid="{00000000-0005-0000-0000-0000FE040000}"/>
    <cellStyle name="40% - Accent3 4 2 2" xfId="1279" xr:uid="{00000000-0005-0000-0000-0000FF040000}"/>
    <cellStyle name="40% - Accent3 4 3" xfId="1280" xr:uid="{00000000-0005-0000-0000-000000050000}"/>
    <cellStyle name="40% - Accent3 4 3 2" xfId="1281" xr:uid="{00000000-0005-0000-0000-000001050000}"/>
    <cellStyle name="40% - Accent3 4 3 2 2" xfId="1282" xr:uid="{00000000-0005-0000-0000-000002050000}"/>
    <cellStyle name="40% - Accent3 4 3 3" xfId="1283" xr:uid="{00000000-0005-0000-0000-000003050000}"/>
    <cellStyle name="40% - Accent3 4 4" xfId="1284" xr:uid="{00000000-0005-0000-0000-000004050000}"/>
    <cellStyle name="40% - Accent3 5" xfId="1285" xr:uid="{00000000-0005-0000-0000-000005050000}"/>
    <cellStyle name="40% - Accent3 5 2" xfId="1286" xr:uid="{00000000-0005-0000-0000-000006050000}"/>
    <cellStyle name="40% - Accent3 5 2 2" xfId="1287" xr:uid="{00000000-0005-0000-0000-000007050000}"/>
    <cellStyle name="40% - Accent3 5 2 2 2" xfId="1288" xr:uid="{00000000-0005-0000-0000-000008050000}"/>
    <cellStyle name="40% - Accent3 5 2 3" xfId="1289" xr:uid="{00000000-0005-0000-0000-000009050000}"/>
    <cellStyle name="40% - Accent3 5 3" xfId="1290" xr:uid="{00000000-0005-0000-0000-00000A050000}"/>
    <cellStyle name="40% - Accent3 5 3 2" xfId="1291" xr:uid="{00000000-0005-0000-0000-00000B050000}"/>
    <cellStyle name="40% - Accent3 5 3 2 2" xfId="1292" xr:uid="{00000000-0005-0000-0000-00000C050000}"/>
    <cellStyle name="40% - Accent3 5 3 2 2 2" xfId="1293" xr:uid="{00000000-0005-0000-0000-00000D050000}"/>
    <cellStyle name="40% - Accent3 5 3 2 3" xfId="1294" xr:uid="{00000000-0005-0000-0000-00000E050000}"/>
    <cellStyle name="40% - Accent3 5 3 3" xfId="1295" xr:uid="{00000000-0005-0000-0000-00000F050000}"/>
    <cellStyle name="40% - Accent3 5 3 3 2" xfId="1296" xr:uid="{00000000-0005-0000-0000-000010050000}"/>
    <cellStyle name="40% - Accent3 5 3 4" xfId="1297" xr:uid="{00000000-0005-0000-0000-000011050000}"/>
    <cellStyle name="40% - Accent3 5 4" xfId="1298" xr:uid="{00000000-0005-0000-0000-000012050000}"/>
    <cellStyle name="40% - Accent3 5 4 2" xfId="1299" xr:uid="{00000000-0005-0000-0000-000013050000}"/>
    <cellStyle name="40% - Accent3 5 5" xfId="1300" xr:uid="{00000000-0005-0000-0000-000014050000}"/>
    <cellStyle name="40% - Accent3 6" xfId="1301" xr:uid="{00000000-0005-0000-0000-000015050000}"/>
    <cellStyle name="40% - Accent3 6 2" xfId="1302" xr:uid="{00000000-0005-0000-0000-000016050000}"/>
    <cellStyle name="40% - Accent3 6 2 2" xfId="1303" xr:uid="{00000000-0005-0000-0000-000017050000}"/>
    <cellStyle name="40% - Accent3 6 2 2 2" xfId="1304" xr:uid="{00000000-0005-0000-0000-000018050000}"/>
    <cellStyle name="40% - Accent3 6 2 3" xfId="1305" xr:uid="{00000000-0005-0000-0000-000019050000}"/>
    <cellStyle name="40% - Accent3 6 3" xfId="1306" xr:uid="{00000000-0005-0000-0000-00001A050000}"/>
    <cellStyle name="40% - Accent3 6 3 2" xfId="1307" xr:uid="{00000000-0005-0000-0000-00001B050000}"/>
    <cellStyle name="40% - Accent3 6 4" xfId="1308" xr:uid="{00000000-0005-0000-0000-00001C050000}"/>
    <cellStyle name="40% - Accent3 7" xfId="1309" xr:uid="{00000000-0005-0000-0000-00001D050000}"/>
    <cellStyle name="40% - Accent3 8" xfId="1310" xr:uid="{00000000-0005-0000-0000-00001E050000}"/>
    <cellStyle name="40% - Accent4 2" xfId="1311" xr:uid="{00000000-0005-0000-0000-00001F050000}"/>
    <cellStyle name="40% - Accent4 2 10" xfId="1312" xr:uid="{00000000-0005-0000-0000-000020050000}"/>
    <cellStyle name="40% - Accent4 2 10 2" xfId="1313" xr:uid="{00000000-0005-0000-0000-000021050000}"/>
    <cellStyle name="40% - Accent4 2 11" xfId="1314" xr:uid="{00000000-0005-0000-0000-000022050000}"/>
    <cellStyle name="40% - Accent4 2 2" xfId="1315" xr:uid="{00000000-0005-0000-0000-000023050000}"/>
    <cellStyle name="40% - Accent4 2 2 2" xfId="1316" xr:uid="{00000000-0005-0000-0000-000024050000}"/>
    <cellStyle name="40% - Accent4 2 2 2 2" xfId="1317" xr:uid="{00000000-0005-0000-0000-000025050000}"/>
    <cellStyle name="40% - Accent4 2 2 2 2 2" xfId="1318" xr:uid="{00000000-0005-0000-0000-000026050000}"/>
    <cellStyle name="40% - Accent4 2 2 2 3" xfId="1319" xr:uid="{00000000-0005-0000-0000-000027050000}"/>
    <cellStyle name="40% - Accent4 2 2 2 3 2" xfId="1320" xr:uid="{00000000-0005-0000-0000-000028050000}"/>
    <cellStyle name="40% - Accent4 2 2 2 3 2 2" xfId="1321" xr:uid="{00000000-0005-0000-0000-000029050000}"/>
    <cellStyle name="40% - Accent4 2 2 2 3 3" xfId="1322" xr:uid="{00000000-0005-0000-0000-00002A050000}"/>
    <cellStyle name="40% - Accent4 2 2 2 4" xfId="1323" xr:uid="{00000000-0005-0000-0000-00002B050000}"/>
    <cellStyle name="40% - Accent4 2 2 3" xfId="1324" xr:uid="{00000000-0005-0000-0000-00002C050000}"/>
    <cellStyle name="40% - Accent4 2 2 3 2" xfId="1325" xr:uid="{00000000-0005-0000-0000-00002D050000}"/>
    <cellStyle name="40% - Accent4 2 2 3 2 2" xfId="1326" xr:uid="{00000000-0005-0000-0000-00002E050000}"/>
    <cellStyle name="40% - Accent4 2 2 3 3" xfId="1327" xr:uid="{00000000-0005-0000-0000-00002F050000}"/>
    <cellStyle name="40% - Accent4 2 2 4" xfId="1328" xr:uid="{00000000-0005-0000-0000-000030050000}"/>
    <cellStyle name="40% - Accent4 2 2 4 2" xfId="1329" xr:uid="{00000000-0005-0000-0000-000031050000}"/>
    <cellStyle name="40% - Accent4 2 2 4 2 2" xfId="1330" xr:uid="{00000000-0005-0000-0000-000032050000}"/>
    <cellStyle name="40% - Accent4 2 2 4 2 2 2" xfId="1331" xr:uid="{00000000-0005-0000-0000-000033050000}"/>
    <cellStyle name="40% - Accent4 2 2 4 2 3" xfId="1332" xr:uid="{00000000-0005-0000-0000-000034050000}"/>
    <cellStyle name="40% - Accent4 2 2 4 3" xfId="1333" xr:uid="{00000000-0005-0000-0000-000035050000}"/>
    <cellStyle name="40% - Accent4 2 2 4 3 2" xfId="1334" xr:uid="{00000000-0005-0000-0000-000036050000}"/>
    <cellStyle name="40% - Accent4 2 2 4 4" xfId="1335" xr:uid="{00000000-0005-0000-0000-000037050000}"/>
    <cellStyle name="40% - Accent4 2 2 5" xfId="1336" xr:uid="{00000000-0005-0000-0000-000038050000}"/>
    <cellStyle name="40% - Accent4 2 2 5 2" xfId="1337" xr:uid="{00000000-0005-0000-0000-000039050000}"/>
    <cellStyle name="40% - Accent4 2 2 6" xfId="1338" xr:uid="{00000000-0005-0000-0000-00003A050000}"/>
    <cellStyle name="40% - Accent4 2 3" xfId="1339" xr:uid="{00000000-0005-0000-0000-00003B050000}"/>
    <cellStyle name="40% - Accent4 2 3 2" xfId="1340" xr:uid="{00000000-0005-0000-0000-00003C050000}"/>
    <cellStyle name="40% - Accent4 2 3 2 2" xfId="1341" xr:uid="{00000000-0005-0000-0000-00003D050000}"/>
    <cellStyle name="40% - Accent4 2 3 2 2 2" xfId="1342" xr:uid="{00000000-0005-0000-0000-00003E050000}"/>
    <cellStyle name="40% - Accent4 2 3 2 3" xfId="1343" xr:uid="{00000000-0005-0000-0000-00003F050000}"/>
    <cellStyle name="40% - Accent4 2 3 3" xfId="1344" xr:uid="{00000000-0005-0000-0000-000040050000}"/>
    <cellStyle name="40% - Accent4 2 3 3 2" xfId="1345" xr:uid="{00000000-0005-0000-0000-000041050000}"/>
    <cellStyle name="40% - Accent4 2 3 3 2 2" xfId="1346" xr:uid="{00000000-0005-0000-0000-000042050000}"/>
    <cellStyle name="40% - Accent4 2 3 3 2 2 2" xfId="1347" xr:uid="{00000000-0005-0000-0000-000043050000}"/>
    <cellStyle name="40% - Accent4 2 3 3 2 3" xfId="1348" xr:uid="{00000000-0005-0000-0000-000044050000}"/>
    <cellStyle name="40% - Accent4 2 3 3 3" xfId="1349" xr:uid="{00000000-0005-0000-0000-000045050000}"/>
    <cellStyle name="40% - Accent4 2 3 3 3 2" xfId="1350" xr:uid="{00000000-0005-0000-0000-000046050000}"/>
    <cellStyle name="40% - Accent4 2 3 3 4" xfId="1351" xr:uid="{00000000-0005-0000-0000-000047050000}"/>
    <cellStyle name="40% - Accent4 2 3 4" xfId="1352" xr:uid="{00000000-0005-0000-0000-000048050000}"/>
    <cellStyle name="40% - Accent4 2 3 4 2" xfId="1353" xr:uid="{00000000-0005-0000-0000-000049050000}"/>
    <cellStyle name="40% - Accent4 2 3 5" xfId="1354" xr:uid="{00000000-0005-0000-0000-00004A050000}"/>
    <cellStyle name="40% - Accent4 2 4" xfId="1355" xr:uid="{00000000-0005-0000-0000-00004B050000}"/>
    <cellStyle name="40% - Accent4 2 4 2" xfId="1356" xr:uid="{00000000-0005-0000-0000-00004C050000}"/>
    <cellStyle name="40% - Accent4 2 4 2 2" xfId="1357" xr:uid="{00000000-0005-0000-0000-00004D050000}"/>
    <cellStyle name="40% - Accent4 2 4 2 2 2" xfId="1358" xr:uid="{00000000-0005-0000-0000-00004E050000}"/>
    <cellStyle name="40% - Accent4 2 4 2 3" xfId="1359" xr:uid="{00000000-0005-0000-0000-00004F050000}"/>
    <cellStyle name="40% - Accent4 2 4 3" xfId="1360" xr:uid="{00000000-0005-0000-0000-000050050000}"/>
    <cellStyle name="40% - Accent4 2 4 3 2" xfId="1361" xr:uid="{00000000-0005-0000-0000-000051050000}"/>
    <cellStyle name="40% - Accent4 2 4 4" xfId="1362" xr:uid="{00000000-0005-0000-0000-000052050000}"/>
    <cellStyle name="40% - Accent4 2 5" xfId="1363" xr:uid="{00000000-0005-0000-0000-000053050000}"/>
    <cellStyle name="40% - Accent4 2 5 2" xfId="1364" xr:uid="{00000000-0005-0000-0000-000054050000}"/>
    <cellStyle name="40% - Accent4 2 5 2 2" xfId="1365" xr:uid="{00000000-0005-0000-0000-000055050000}"/>
    <cellStyle name="40% - Accent4 2 5 2 2 2" xfId="1366" xr:uid="{00000000-0005-0000-0000-000056050000}"/>
    <cellStyle name="40% - Accent4 2 5 2 3" xfId="1367" xr:uid="{00000000-0005-0000-0000-000057050000}"/>
    <cellStyle name="40% - Accent4 2 5 3" xfId="1368" xr:uid="{00000000-0005-0000-0000-000058050000}"/>
    <cellStyle name="40% - Accent4 2 5 3 2" xfId="1369" xr:uid="{00000000-0005-0000-0000-000059050000}"/>
    <cellStyle name="40% - Accent4 2 5 3 2 2" xfId="1370" xr:uid="{00000000-0005-0000-0000-00005A050000}"/>
    <cellStyle name="40% - Accent4 2 5 3 2 2 2" xfId="1371" xr:uid="{00000000-0005-0000-0000-00005B050000}"/>
    <cellStyle name="40% - Accent4 2 5 3 2 3" xfId="1372" xr:uid="{00000000-0005-0000-0000-00005C050000}"/>
    <cellStyle name="40% - Accent4 2 5 3 3" xfId="1373" xr:uid="{00000000-0005-0000-0000-00005D050000}"/>
    <cellStyle name="40% - Accent4 2 5 3 3 2" xfId="1374" xr:uid="{00000000-0005-0000-0000-00005E050000}"/>
    <cellStyle name="40% - Accent4 2 5 3 4" xfId="1375" xr:uid="{00000000-0005-0000-0000-00005F050000}"/>
    <cellStyle name="40% - Accent4 2 5 4" xfId="1376" xr:uid="{00000000-0005-0000-0000-000060050000}"/>
    <cellStyle name="40% - Accent4 2 5 4 2" xfId="1377" xr:uid="{00000000-0005-0000-0000-000061050000}"/>
    <cellStyle name="40% - Accent4 2 5 5" xfId="1378" xr:uid="{00000000-0005-0000-0000-000062050000}"/>
    <cellStyle name="40% - Accent4 2 6" xfId="1379" xr:uid="{00000000-0005-0000-0000-000063050000}"/>
    <cellStyle name="40% - Accent4 2 6 2" xfId="1380" xr:uid="{00000000-0005-0000-0000-000064050000}"/>
    <cellStyle name="40% - Accent4 2 6 2 2" xfId="1381" xr:uid="{00000000-0005-0000-0000-000065050000}"/>
    <cellStyle name="40% - Accent4 2 6 3" xfId="1382" xr:uid="{00000000-0005-0000-0000-000066050000}"/>
    <cellStyle name="40% - Accent4 2 7" xfId="1383" xr:uid="{00000000-0005-0000-0000-000067050000}"/>
    <cellStyle name="40% - Accent4 2 7 2" xfId="1384" xr:uid="{00000000-0005-0000-0000-000068050000}"/>
    <cellStyle name="40% - Accent4 2 7 2 2" xfId="1385" xr:uid="{00000000-0005-0000-0000-000069050000}"/>
    <cellStyle name="40% - Accent4 2 7 3" xfId="1386" xr:uid="{00000000-0005-0000-0000-00006A050000}"/>
    <cellStyle name="40% - Accent4 2 8" xfId="1387" xr:uid="{00000000-0005-0000-0000-00006B050000}"/>
    <cellStyle name="40% - Accent4 2 8 2" xfId="1388" xr:uid="{00000000-0005-0000-0000-00006C050000}"/>
    <cellStyle name="40% - Accent4 2 8 2 2" xfId="1389" xr:uid="{00000000-0005-0000-0000-00006D050000}"/>
    <cellStyle name="40% - Accent4 2 8 2 2 2" xfId="1390" xr:uid="{00000000-0005-0000-0000-00006E050000}"/>
    <cellStyle name="40% - Accent4 2 8 2 3" xfId="1391" xr:uid="{00000000-0005-0000-0000-00006F050000}"/>
    <cellStyle name="40% - Accent4 2 8 3" xfId="1392" xr:uid="{00000000-0005-0000-0000-000070050000}"/>
    <cellStyle name="40% - Accent4 2 8 3 2" xfId="1393" xr:uid="{00000000-0005-0000-0000-000071050000}"/>
    <cellStyle name="40% - Accent4 2 8 4" xfId="1394" xr:uid="{00000000-0005-0000-0000-000072050000}"/>
    <cellStyle name="40% - Accent4 2 9" xfId="1395" xr:uid="{00000000-0005-0000-0000-000073050000}"/>
    <cellStyle name="40% - Accent4 2 9 2" xfId="1396" xr:uid="{00000000-0005-0000-0000-000074050000}"/>
    <cellStyle name="40% - Accent4 3" xfId="1397" xr:uid="{00000000-0005-0000-0000-000075050000}"/>
    <cellStyle name="40% - Accent4 3 2" xfId="1398" xr:uid="{00000000-0005-0000-0000-000076050000}"/>
    <cellStyle name="40% - Accent4 3 2 2" xfId="1399" xr:uid="{00000000-0005-0000-0000-000077050000}"/>
    <cellStyle name="40% - Accent4 3 2 2 2" xfId="1400" xr:uid="{00000000-0005-0000-0000-000078050000}"/>
    <cellStyle name="40% - Accent4 3 2 3" xfId="1401" xr:uid="{00000000-0005-0000-0000-000079050000}"/>
    <cellStyle name="40% - Accent4 3 3" xfId="1402" xr:uid="{00000000-0005-0000-0000-00007A050000}"/>
    <cellStyle name="40% - Accent4 3 3 2" xfId="1403" xr:uid="{00000000-0005-0000-0000-00007B050000}"/>
    <cellStyle name="40% - Accent4 3 4" xfId="1404" xr:uid="{00000000-0005-0000-0000-00007C050000}"/>
    <cellStyle name="40% - Accent4 3 4 2" xfId="1405" xr:uid="{00000000-0005-0000-0000-00007D050000}"/>
    <cellStyle name="40% - Accent4 3 4 2 2" xfId="1406" xr:uid="{00000000-0005-0000-0000-00007E050000}"/>
    <cellStyle name="40% - Accent4 3 4 3" xfId="1407" xr:uid="{00000000-0005-0000-0000-00007F050000}"/>
    <cellStyle name="40% - Accent4 3 5" xfId="1408" xr:uid="{00000000-0005-0000-0000-000080050000}"/>
    <cellStyle name="40% - Accent4 4" xfId="1409" xr:uid="{00000000-0005-0000-0000-000081050000}"/>
    <cellStyle name="40% - Accent4 4 2" xfId="1410" xr:uid="{00000000-0005-0000-0000-000082050000}"/>
    <cellStyle name="40% - Accent4 4 2 2" xfId="1411" xr:uid="{00000000-0005-0000-0000-000083050000}"/>
    <cellStyle name="40% - Accent4 4 3" xfId="1412" xr:uid="{00000000-0005-0000-0000-000084050000}"/>
    <cellStyle name="40% - Accent4 4 3 2" xfId="1413" xr:uid="{00000000-0005-0000-0000-000085050000}"/>
    <cellStyle name="40% - Accent4 4 3 2 2" xfId="1414" xr:uid="{00000000-0005-0000-0000-000086050000}"/>
    <cellStyle name="40% - Accent4 4 3 3" xfId="1415" xr:uid="{00000000-0005-0000-0000-000087050000}"/>
    <cellStyle name="40% - Accent4 4 4" xfId="1416" xr:uid="{00000000-0005-0000-0000-000088050000}"/>
    <cellStyle name="40% - Accent4 5" xfId="1417" xr:uid="{00000000-0005-0000-0000-000089050000}"/>
    <cellStyle name="40% - Accent4 5 2" xfId="1418" xr:uid="{00000000-0005-0000-0000-00008A050000}"/>
    <cellStyle name="40% - Accent4 5 2 2" xfId="1419" xr:uid="{00000000-0005-0000-0000-00008B050000}"/>
    <cellStyle name="40% - Accent4 5 2 2 2" xfId="1420" xr:uid="{00000000-0005-0000-0000-00008C050000}"/>
    <cellStyle name="40% - Accent4 5 2 3" xfId="1421" xr:uid="{00000000-0005-0000-0000-00008D050000}"/>
    <cellStyle name="40% - Accent4 5 3" xfId="1422" xr:uid="{00000000-0005-0000-0000-00008E050000}"/>
    <cellStyle name="40% - Accent4 5 3 2" xfId="1423" xr:uid="{00000000-0005-0000-0000-00008F050000}"/>
    <cellStyle name="40% - Accent4 5 3 2 2" xfId="1424" xr:uid="{00000000-0005-0000-0000-000090050000}"/>
    <cellStyle name="40% - Accent4 5 3 2 2 2" xfId="1425" xr:uid="{00000000-0005-0000-0000-000091050000}"/>
    <cellStyle name="40% - Accent4 5 3 2 3" xfId="1426" xr:uid="{00000000-0005-0000-0000-000092050000}"/>
    <cellStyle name="40% - Accent4 5 3 3" xfId="1427" xr:uid="{00000000-0005-0000-0000-000093050000}"/>
    <cellStyle name="40% - Accent4 5 3 3 2" xfId="1428" xr:uid="{00000000-0005-0000-0000-000094050000}"/>
    <cellStyle name="40% - Accent4 5 3 4" xfId="1429" xr:uid="{00000000-0005-0000-0000-000095050000}"/>
    <cellStyle name="40% - Accent4 5 4" xfId="1430" xr:uid="{00000000-0005-0000-0000-000096050000}"/>
    <cellStyle name="40% - Accent4 5 4 2" xfId="1431" xr:uid="{00000000-0005-0000-0000-000097050000}"/>
    <cellStyle name="40% - Accent4 5 5" xfId="1432" xr:uid="{00000000-0005-0000-0000-000098050000}"/>
    <cellStyle name="40% - Accent4 6" xfId="1433" xr:uid="{00000000-0005-0000-0000-000099050000}"/>
    <cellStyle name="40% - Accent4 6 2" xfId="1434" xr:uid="{00000000-0005-0000-0000-00009A050000}"/>
    <cellStyle name="40% - Accent4 6 2 2" xfId="1435" xr:uid="{00000000-0005-0000-0000-00009B050000}"/>
    <cellStyle name="40% - Accent4 6 2 2 2" xfId="1436" xr:uid="{00000000-0005-0000-0000-00009C050000}"/>
    <cellStyle name="40% - Accent4 6 2 3" xfId="1437" xr:uid="{00000000-0005-0000-0000-00009D050000}"/>
    <cellStyle name="40% - Accent4 6 3" xfId="1438" xr:uid="{00000000-0005-0000-0000-00009E050000}"/>
    <cellStyle name="40% - Accent4 6 3 2" xfId="1439" xr:uid="{00000000-0005-0000-0000-00009F050000}"/>
    <cellStyle name="40% - Accent4 6 4" xfId="1440" xr:uid="{00000000-0005-0000-0000-0000A0050000}"/>
    <cellStyle name="40% - Accent4 7" xfId="1441" xr:uid="{00000000-0005-0000-0000-0000A1050000}"/>
    <cellStyle name="40% - Accent4 8" xfId="1442" xr:uid="{00000000-0005-0000-0000-0000A2050000}"/>
    <cellStyle name="40% - Accent5 2" xfId="1443" xr:uid="{00000000-0005-0000-0000-0000A3050000}"/>
    <cellStyle name="40% - Accent5 2 10" xfId="1444" xr:uid="{00000000-0005-0000-0000-0000A4050000}"/>
    <cellStyle name="40% - Accent5 2 10 2" xfId="1445" xr:uid="{00000000-0005-0000-0000-0000A5050000}"/>
    <cellStyle name="40% - Accent5 2 11" xfId="1446" xr:uid="{00000000-0005-0000-0000-0000A6050000}"/>
    <cellStyle name="40% - Accent5 2 2" xfId="1447" xr:uid="{00000000-0005-0000-0000-0000A7050000}"/>
    <cellStyle name="40% - Accent5 2 2 2" xfId="1448" xr:uid="{00000000-0005-0000-0000-0000A8050000}"/>
    <cellStyle name="40% - Accent5 2 2 2 2" xfId="1449" xr:uid="{00000000-0005-0000-0000-0000A9050000}"/>
    <cellStyle name="40% - Accent5 2 2 2 2 2" xfId="1450" xr:uid="{00000000-0005-0000-0000-0000AA050000}"/>
    <cellStyle name="40% - Accent5 2 2 2 3" xfId="1451" xr:uid="{00000000-0005-0000-0000-0000AB050000}"/>
    <cellStyle name="40% - Accent5 2 2 2 3 2" xfId="1452" xr:uid="{00000000-0005-0000-0000-0000AC050000}"/>
    <cellStyle name="40% - Accent5 2 2 2 3 2 2" xfId="1453" xr:uid="{00000000-0005-0000-0000-0000AD050000}"/>
    <cellStyle name="40% - Accent5 2 2 2 3 3" xfId="1454" xr:uid="{00000000-0005-0000-0000-0000AE050000}"/>
    <cellStyle name="40% - Accent5 2 2 2 4" xfId="1455" xr:uid="{00000000-0005-0000-0000-0000AF050000}"/>
    <cellStyle name="40% - Accent5 2 2 3" xfId="1456" xr:uid="{00000000-0005-0000-0000-0000B0050000}"/>
    <cellStyle name="40% - Accent5 2 2 3 2" xfId="1457" xr:uid="{00000000-0005-0000-0000-0000B1050000}"/>
    <cellStyle name="40% - Accent5 2 2 3 2 2" xfId="1458" xr:uid="{00000000-0005-0000-0000-0000B2050000}"/>
    <cellStyle name="40% - Accent5 2 2 3 3" xfId="1459" xr:uid="{00000000-0005-0000-0000-0000B3050000}"/>
    <cellStyle name="40% - Accent5 2 2 4" xfId="1460" xr:uid="{00000000-0005-0000-0000-0000B4050000}"/>
    <cellStyle name="40% - Accent5 2 2 4 2" xfId="1461" xr:uid="{00000000-0005-0000-0000-0000B5050000}"/>
    <cellStyle name="40% - Accent5 2 2 4 2 2" xfId="1462" xr:uid="{00000000-0005-0000-0000-0000B6050000}"/>
    <cellStyle name="40% - Accent5 2 2 4 2 2 2" xfId="1463" xr:uid="{00000000-0005-0000-0000-0000B7050000}"/>
    <cellStyle name="40% - Accent5 2 2 4 2 3" xfId="1464" xr:uid="{00000000-0005-0000-0000-0000B8050000}"/>
    <cellStyle name="40% - Accent5 2 2 4 3" xfId="1465" xr:uid="{00000000-0005-0000-0000-0000B9050000}"/>
    <cellStyle name="40% - Accent5 2 2 4 3 2" xfId="1466" xr:uid="{00000000-0005-0000-0000-0000BA050000}"/>
    <cellStyle name="40% - Accent5 2 2 4 4" xfId="1467" xr:uid="{00000000-0005-0000-0000-0000BB050000}"/>
    <cellStyle name="40% - Accent5 2 2 5" xfId="1468" xr:uid="{00000000-0005-0000-0000-0000BC050000}"/>
    <cellStyle name="40% - Accent5 2 2 5 2" xfId="1469" xr:uid="{00000000-0005-0000-0000-0000BD050000}"/>
    <cellStyle name="40% - Accent5 2 2 6" xfId="1470" xr:uid="{00000000-0005-0000-0000-0000BE050000}"/>
    <cellStyle name="40% - Accent5 2 3" xfId="1471" xr:uid="{00000000-0005-0000-0000-0000BF050000}"/>
    <cellStyle name="40% - Accent5 2 3 2" xfId="1472" xr:uid="{00000000-0005-0000-0000-0000C0050000}"/>
    <cellStyle name="40% - Accent5 2 3 2 2" xfId="1473" xr:uid="{00000000-0005-0000-0000-0000C1050000}"/>
    <cellStyle name="40% - Accent5 2 3 2 2 2" xfId="1474" xr:uid="{00000000-0005-0000-0000-0000C2050000}"/>
    <cellStyle name="40% - Accent5 2 3 2 3" xfId="1475" xr:uid="{00000000-0005-0000-0000-0000C3050000}"/>
    <cellStyle name="40% - Accent5 2 3 3" xfId="1476" xr:uid="{00000000-0005-0000-0000-0000C4050000}"/>
    <cellStyle name="40% - Accent5 2 3 3 2" xfId="1477" xr:uid="{00000000-0005-0000-0000-0000C5050000}"/>
    <cellStyle name="40% - Accent5 2 3 3 2 2" xfId="1478" xr:uid="{00000000-0005-0000-0000-0000C6050000}"/>
    <cellStyle name="40% - Accent5 2 3 3 2 2 2" xfId="1479" xr:uid="{00000000-0005-0000-0000-0000C7050000}"/>
    <cellStyle name="40% - Accent5 2 3 3 2 3" xfId="1480" xr:uid="{00000000-0005-0000-0000-0000C8050000}"/>
    <cellStyle name="40% - Accent5 2 3 3 3" xfId="1481" xr:uid="{00000000-0005-0000-0000-0000C9050000}"/>
    <cellStyle name="40% - Accent5 2 3 3 3 2" xfId="1482" xr:uid="{00000000-0005-0000-0000-0000CA050000}"/>
    <cellStyle name="40% - Accent5 2 3 3 4" xfId="1483" xr:uid="{00000000-0005-0000-0000-0000CB050000}"/>
    <cellStyle name="40% - Accent5 2 3 4" xfId="1484" xr:uid="{00000000-0005-0000-0000-0000CC050000}"/>
    <cellStyle name="40% - Accent5 2 3 4 2" xfId="1485" xr:uid="{00000000-0005-0000-0000-0000CD050000}"/>
    <cellStyle name="40% - Accent5 2 3 5" xfId="1486" xr:uid="{00000000-0005-0000-0000-0000CE050000}"/>
    <cellStyle name="40% - Accent5 2 4" xfId="1487" xr:uid="{00000000-0005-0000-0000-0000CF050000}"/>
    <cellStyle name="40% - Accent5 2 4 2" xfId="1488" xr:uid="{00000000-0005-0000-0000-0000D0050000}"/>
    <cellStyle name="40% - Accent5 2 4 2 2" xfId="1489" xr:uid="{00000000-0005-0000-0000-0000D1050000}"/>
    <cellStyle name="40% - Accent5 2 4 2 2 2" xfId="1490" xr:uid="{00000000-0005-0000-0000-0000D2050000}"/>
    <cellStyle name="40% - Accent5 2 4 2 3" xfId="1491" xr:uid="{00000000-0005-0000-0000-0000D3050000}"/>
    <cellStyle name="40% - Accent5 2 4 3" xfId="1492" xr:uid="{00000000-0005-0000-0000-0000D4050000}"/>
    <cellStyle name="40% - Accent5 2 4 3 2" xfId="1493" xr:uid="{00000000-0005-0000-0000-0000D5050000}"/>
    <cellStyle name="40% - Accent5 2 4 4" xfId="1494" xr:uid="{00000000-0005-0000-0000-0000D6050000}"/>
    <cellStyle name="40% - Accent5 2 5" xfId="1495" xr:uid="{00000000-0005-0000-0000-0000D7050000}"/>
    <cellStyle name="40% - Accent5 2 5 2" xfId="1496" xr:uid="{00000000-0005-0000-0000-0000D8050000}"/>
    <cellStyle name="40% - Accent5 2 5 2 2" xfId="1497" xr:uid="{00000000-0005-0000-0000-0000D9050000}"/>
    <cellStyle name="40% - Accent5 2 5 2 2 2" xfId="1498" xr:uid="{00000000-0005-0000-0000-0000DA050000}"/>
    <cellStyle name="40% - Accent5 2 5 2 3" xfId="1499" xr:uid="{00000000-0005-0000-0000-0000DB050000}"/>
    <cellStyle name="40% - Accent5 2 5 3" xfId="1500" xr:uid="{00000000-0005-0000-0000-0000DC050000}"/>
    <cellStyle name="40% - Accent5 2 5 3 2" xfId="1501" xr:uid="{00000000-0005-0000-0000-0000DD050000}"/>
    <cellStyle name="40% - Accent5 2 5 3 2 2" xfId="1502" xr:uid="{00000000-0005-0000-0000-0000DE050000}"/>
    <cellStyle name="40% - Accent5 2 5 3 2 2 2" xfId="1503" xr:uid="{00000000-0005-0000-0000-0000DF050000}"/>
    <cellStyle name="40% - Accent5 2 5 3 2 3" xfId="1504" xr:uid="{00000000-0005-0000-0000-0000E0050000}"/>
    <cellStyle name="40% - Accent5 2 5 3 3" xfId="1505" xr:uid="{00000000-0005-0000-0000-0000E1050000}"/>
    <cellStyle name="40% - Accent5 2 5 3 3 2" xfId="1506" xr:uid="{00000000-0005-0000-0000-0000E2050000}"/>
    <cellStyle name="40% - Accent5 2 5 3 4" xfId="1507" xr:uid="{00000000-0005-0000-0000-0000E3050000}"/>
    <cellStyle name="40% - Accent5 2 5 4" xfId="1508" xr:uid="{00000000-0005-0000-0000-0000E4050000}"/>
    <cellStyle name="40% - Accent5 2 5 4 2" xfId="1509" xr:uid="{00000000-0005-0000-0000-0000E5050000}"/>
    <cellStyle name="40% - Accent5 2 5 5" xfId="1510" xr:uid="{00000000-0005-0000-0000-0000E6050000}"/>
    <cellStyle name="40% - Accent5 2 6" xfId="1511" xr:uid="{00000000-0005-0000-0000-0000E7050000}"/>
    <cellStyle name="40% - Accent5 2 6 2" xfId="1512" xr:uid="{00000000-0005-0000-0000-0000E8050000}"/>
    <cellStyle name="40% - Accent5 2 6 2 2" xfId="1513" xr:uid="{00000000-0005-0000-0000-0000E9050000}"/>
    <cellStyle name="40% - Accent5 2 6 3" xfId="1514" xr:uid="{00000000-0005-0000-0000-0000EA050000}"/>
    <cellStyle name="40% - Accent5 2 7" xfId="1515" xr:uid="{00000000-0005-0000-0000-0000EB050000}"/>
    <cellStyle name="40% - Accent5 2 7 2" xfId="1516" xr:uid="{00000000-0005-0000-0000-0000EC050000}"/>
    <cellStyle name="40% - Accent5 2 7 2 2" xfId="1517" xr:uid="{00000000-0005-0000-0000-0000ED050000}"/>
    <cellStyle name="40% - Accent5 2 7 3" xfId="1518" xr:uid="{00000000-0005-0000-0000-0000EE050000}"/>
    <cellStyle name="40% - Accent5 2 8" xfId="1519" xr:uid="{00000000-0005-0000-0000-0000EF050000}"/>
    <cellStyle name="40% - Accent5 2 8 2" xfId="1520" xr:uid="{00000000-0005-0000-0000-0000F0050000}"/>
    <cellStyle name="40% - Accent5 2 8 2 2" xfId="1521" xr:uid="{00000000-0005-0000-0000-0000F1050000}"/>
    <cellStyle name="40% - Accent5 2 8 2 2 2" xfId="1522" xr:uid="{00000000-0005-0000-0000-0000F2050000}"/>
    <cellStyle name="40% - Accent5 2 8 2 3" xfId="1523" xr:uid="{00000000-0005-0000-0000-0000F3050000}"/>
    <cellStyle name="40% - Accent5 2 8 3" xfId="1524" xr:uid="{00000000-0005-0000-0000-0000F4050000}"/>
    <cellStyle name="40% - Accent5 2 8 3 2" xfId="1525" xr:uid="{00000000-0005-0000-0000-0000F5050000}"/>
    <cellStyle name="40% - Accent5 2 8 4" xfId="1526" xr:uid="{00000000-0005-0000-0000-0000F6050000}"/>
    <cellStyle name="40% - Accent5 2 9" xfId="1527" xr:uid="{00000000-0005-0000-0000-0000F7050000}"/>
    <cellStyle name="40% - Accent5 2 9 2" xfId="1528" xr:uid="{00000000-0005-0000-0000-0000F8050000}"/>
    <cellStyle name="40% - Accent5 3" xfId="1529" xr:uid="{00000000-0005-0000-0000-0000F9050000}"/>
    <cellStyle name="40% - Accent5 3 2" xfId="1530" xr:uid="{00000000-0005-0000-0000-0000FA050000}"/>
    <cellStyle name="40% - Accent5 3 2 2" xfId="1531" xr:uid="{00000000-0005-0000-0000-0000FB050000}"/>
    <cellStyle name="40% - Accent5 3 2 2 2" xfId="1532" xr:uid="{00000000-0005-0000-0000-0000FC050000}"/>
    <cellStyle name="40% - Accent5 3 2 3" xfId="1533" xr:uid="{00000000-0005-0000-0000-0000FD050000}"/>
    <cellStyle name="40% - Accent5 3 3" xfId="1534" xr:uid="{00000000-0005-0000-0000-0000FE050000}"/>
    <cellStyle name="40% - Accent5 3 3 2" xfId="1535" xr:uid="{00000000-0005-0000-0000-0000FF050000}"/>
    <cellStyle name="40% - Accent5 3 4" xfId="1536" xr:uid="{00000000-0005-0000-0000-000000060000}"/>
    <cellStyle name="40% - Accent5 3 4 2" xfId="1537" xr:uid="{00000000-0005-0000-0000-000001060000}"/>
    <cellStyle name="40% - Accent5 3 4 2 2" xfId="1538" xr:uid="{00000000-0005-0000-0000-000002060000}"/>
    <cellStyle name="40% - Accent5 3 4 3" xfId="1539" xr:uid="{00000000-0005-0000-0000-000003060000}"/>
    <cellStyle name="40% - Accent5 3 5" xfId="1540" xr:uid="{00000000-0005-0000-0000-000004060000}"/>
    <cellStyle name="40% - Accent5 4" xfId="1541" xr:uid="{00000000-0005-0000-0000-000005060000}"/>
    <cellStyle name="40% - Accent5 4 2" xfId="1542" xr:uid="{00000000-0005-0000-0000-000006060000}"/>
    <cellStyle name="40% - Accent5 4 2 2" xfId="1543" xr:uid="{00000000-0005-0000-0000-000007060000}"/>
    <cellStyle name="40% - Accent5 4 3" xfId="1544" xr:uid="{00000000-0005-0000-0000-000008060000}"/>
    <cellStyle name="40% - Accent5 4 3 2" xfId="1545" xr:uid="{00000000-0005-0000-0000-000009060000}"/>
    <cellStyle name="40% - Accent5 4 3 2 2" xfId="1546" xr:uid="{00000000-0005-0000-0000-00000A060000}"/>
    <cellStyle name="40% - Accent5 4 3 3" xfId="1547" xr:uid="{00000000-0005-0000-0000-00000B060000}"/>
    <cellStyle name="40% - Accent5 4 4" xfId="1548" xr:uid="{00000000-0005-0000-0000-00000C060000}"/>
    <cellStyle name="40% - Accent5 5" xfId="1549" xr:uid="{00000000-0005-0000-0000-00000D060000}"/>
    <cellStyle name="40% - Accent5 5 2" xfId="1550" xr:uid="{00000000-0005-0000-0000-00000E060000}"/>
    <cellStyle name="40% - Accent5 5 2 2" xfId="1551" xr:uid="{00000000-0005-0000-0000-00000F060000}"/>
    <cellStyle name="40% - Accent5 5 2 2 2" xfId="1552" xr:uid="{00000000-0005-0000-0000-000010060000}"/>
    <cellStyle name="40% - Accent5 5 2 3" xfId="1553" xr:uid="{00000000-0005-0000-0000-000011060000}"/>
    <cellStyle name="40% - Accent5 5 3" xfId="1554" xr:uid="{00000000-0005-0000-0000-000012060000}"/>
    <cellStyle name="40% - Accent5 5 3 2" xfId="1555" xr:uid="{00000000-0005-0000-0000-000013060000}"/>
    <cellStyle name="40% - Accent5 5 3 2 2" xfId="1556" xr:uid="{00000000-0005-0000-0000-000014060000}"/>
    <cellStyle name="40% - Accent5 5 3 2 2 2" xfId="1557" xr:uid="{00000000-0005-0000-0000-000015060000}"/>
    <cellStyle name="40% - Accent5 5 3 2 3" xfId="1558" xr:uid="{00000000-0005-0000-0000-000016060000}"/>
    <cellStyle name="40% - Accent5 5 3 3" xfId="1559" xr:uid="{00000000-0005-0000-0000-000017060000}"/>
    <cellStyle name="40% - Accent5 5 3 3 2" xfId="1560" xr:uid="{00000000-0005-0000-0000-000018060000}"/>
    <cellStyle name="40% - Accent5 5 3 4" xfId="1561" xr:uid="{00000000-0005-0000-0000-000019060000}"/>
    <cellStyle name="40% - Accent5 5 4" xfId="1562" xr:uid="{00000000-0005-0000-0000-00001A060000}"/>
    <cellStyle name="40% - Accent5 5 4 2" xfId="1563" xr:uid="{00000000-0005-0000-0000-00001B060000}"/>
    <cellStyle name="40% - Accent5 5 5" xfId="1564" xr:uid="{00000000-0005-0000-0000-00001C060000}"/>
    <cellStyle name="40% - Accent5 6" xfId="1565" xr:uid="{00000000-0005-0000-0000-00001D060000}"/>
    <cellStyle name="40% - Accent5 6 2" xfId="1566" xr:uid="{00000000-0005-0000-0000-00001E060000}"/>
    <cellStyle name="40% - Accent5 6 2 2" xfId="1567" xr:uid="{00000000-0005-0000-0000-00001F060000}"/>
    <cellStyle name="40% - Accent5 6 2 2 2" xfId="1568" xr:uid="{00000000-0005-0000-0000-000020060000}"/>
    <cellStyle name="40% - Accent5 6 2 3" xfId="1569" xr:uid="{00000000-0005-0000-0000-000021060000}"/>
    <cellStyle name="40% - Accent5 6 3" xfId="1570" xr:uid="{00000000-0005-0000-0000-000022060000}"/>
    <cellStyle name="40% - Accent5 6 3 2" xfId="1571" xr:uid="{00000000-0005-0000-0000-000023060000}"/>
    <cellStyle name="40% - Accent5 6 4" xfId="1572" xr:uid="{00000000-0005-0000-0000-000024060000}"/>
    <cellStyle name="40% - Accent5 7" xfId="1573" xr:uid="{00000000-0005-0000-0000-000025060000}"/>
    <cellStyle name="40% - Accent5 8" xfId="1574" xr:uid="{00000000-0005-0000-0000-000026060000}"/>
    <cellStyle name="40% - Accent6 2" xfId="1575" xr:uid="{00000000-0005-0000-0000-000027060000}"/>
    <cellStyle name="40% - Accent6 2 10" xfId="1576" xr:uid="{00000000-0005-0000-0000-000028060000}"/>
    <cellStyle name="40% - Accent6 2 10 2" xfId="1577" xr:uid="{00000000-0005-0000-0000-000029060000}"/>
    <cellStyle name="40% - Accent6 2 11" xfId="1578" xr:uid="{00000000-0005-0000-0000-00002A060000}"/>
    <cellStyle name="40% - Accent6 2 2" xfId="1579" xr:uid="{00000000-0005-0000-0000-00002B060000}"/>
    <cellStyle name="40% - Accent6 2 2 2" xfId="1580" xr:uid="{00000000-0005-0000-0000-00002C060000}"/>
    <cellStyle name="40% - Accent6 2 2 2 2" xfId="1581" xr:uid="{00000000-0005-0000-0000-00002D060000}"/>
    <cellStyle name="40% - Accent6 2 2 2 2 2" xfId="1582" xr:uid="{00000000-0005-0000-0000-00002E060000}"/>
    <cellStyle name="40% - Accent6 2 2 2 3" xfId="1583" xr:uid="{00000000-0005-0000-0000-00002F060000}"/>
    <cellStyle name="40% - Accent6 2 2 2 3 2" xfId="1584" xr:uid="{00000000-0005-0000-0000-000030060000}"/>
    <cellStyle name="40% - Accent6 2 2 2 3 2 2" xfId="1585" xr:uid="{00000000-0005-0000-0000-000031060000}"/>
    <cellStyle name="40% - Accent6 2 2 2 3 3" xfId="1586" xr:uid="{00000000-0005-0000-0000-000032060000}"/>
    <cellStyle name="40% - Accent6 2 2 2 4" xfId="1587" xr:uid="{00000000-0005-0000-0000-000033060000}"/>
    <cellStyle name="40% - Accent6 2 2 3" xfId="1588" xr:uid="{00000000-0005-0000-0000-000034060000}"/>
    <cellStyle name="40% - Accent6 2 2 3 2" xfId="1589" xr:uid="{00000000-0005-0000-0000-000035060000}"/>
    <cellStyle name="40% - Accent6 2 2 3 2 2" xfId="1590" xr:uid="{00000000-0005-0000-0000-000036060000}"/>
    <cellStyle name="40% - Accent6 2 2 3 3" xfId="1591" xr:uid="{00000000-0005-0000-0000-000037060000}"/>
    <cellStyle name="40% - Accent6 2 2 4" xfId="1592" xr:uid="{00000000-0005-0000-0000-000038060000}"/>
    <cellStyle name="40% - Accent6 2 2 4 2" xfId="1593" xr:uid="{00000000-0005-0000-0000-000039060000}"/>
    <cellStyle name="40% - Accent6 2 2 4 2 2" xfId="1594" xr:uid="{00000000-0005-0000-0000-00003A060000}"/>
    <cellStyle name="40% - Accent6 2 2 4 2 2 2" xfId="1595" xr:uid="{00000000-0005-0000-0000-00003B060000}"/>
    <cellStyle name="40% - Accent6 2 2 4 2 3" xfId="1596" xr:uid="{00000000-0005-0000-0000-00003C060000}"/>
    <cellStyle name="40% - Accent6 2 2 4 3" xfId="1597" xr:uid="{00000000-0005-0000-0000-00003D060000}"/>
    <cellStyle name="40% - Accent6 2 2 4 3 2" xfId="1598" xr:uid="{00000000-0005-0000-0000-00003E060000}"/>
    <cellStyle name="40% - Accent6 2 2 4 4" xfId="1599" xr:uid="{00000000-0005-0000-0000-00003F060000}"/>
    <cellStyle name="40% - Accent6 2 2 5" xfId="1600" xr:uid="{00000000-0005-0000-0000-000040060000}"/>
    <cellStyle name="40% - Accent6 2 2 5 2" xfId="1601" xr:uid="{00000000-0005-0000-0000-000041060000}"/>
    <cellStyle name="40% - Accent6 2 2 6" xfId="1602" xr:uid="{00000000-0005-0000-0000-000042060000}"/>
    <cellStyle name="40% - Accent6 2 3" xfId="1603" xr:uid="{00000000-0005-0000-0000-000043060000}"/>
    <cellStyle name="40% - Accent6 2 3 2" xfId="1604" xr:uid="{00000000-0005-0000-0000-000044060000}"/>
    <cellStyle name="40% - Accent6 2 3 2 2" xfId="1605" xr:uid="{00000000-0005-0000-0000-000045060000}"/>
    <cellStyle name="40% - Accent6 2 3 2 2 2" xfId="1606" xr:uid="{00000000-0005-0000-0000-000046060000}"/>
    <cellStyle name="40% - Accent6 2 3 2 3" xfId="1607" xr:uid="{00000000-0005-0000-0000-000047060000}"/>
    <cellStyle name="40% - Accent6 2 3 3" xfId="1608" xr:uid="{00000000-0005-0000-0000-000048060000}"/>
    <cellStyle name="40% - Accent6 2 3 3 2" xfId="1609" xr:uid="{00000000-0005-0000-0000-000049060000}"/>
    <cellStyle name="40% - Accent6 2 3 3 2 2" xfId="1610" xr:uid="{00000000-0005-0000-0000-00004A060000}"/>
    <cellStyle name="40% - Accent6 2 3 3 2 2 2" xfId="1611" xr:uid="{00000000-0005-0000-0000-00004B060000}"/>
    <cellStyle name="40% - Accent6 2 3 3 2 3" xfId="1612" xr:uid="{00000000-0005-0000-0000-00004C060000}"/>
    <cellStyle name="40% - Accent6 2 3 3 3" xfId="1613" xr:uid="{00000000-0005-0000-0000-00004D060000}"/>
    <cellStyle name="40% - Accent6 2 3 3 3 2" xfId="1614" xr:uid="{00000000-0005-0000-0000-00004E060000}"/>
    <cellStyle name="40% - Accent6 2 3 3 4" xfId="1615" xr:uid="{00000000-0005-0000-0000-00004F060000}"/>
    <cellStyle name="40% - Accent6 2 3 4" xfId="1616" xr:uid="{00000000-0005-0000-0000-000050060000}"/>
    <cellStyle name="40% - Accent6 2 3 4 2" xfId="1617" xr:uid="{00000000-0005-0000-0000-000051060000}"/>
    <cellStyle name="40% - Accent6 2 3 5" xfId="1618" xr:uid="{00000000-0005-0000-0000-000052060000}"/>
    <cellStyle name="40% - Accent6 2 4" xfId="1619" xr:uid="{00000000-0005-0000-0000-000053060000}"/>
    <cellStyle name="40% - Accent6 2 4 2" xfId="1620" xr:uid="{00000000-0005-0000-0000-000054060000}"/>
    <cellStyle name="40% - Accent6 2 4 2 2" xfId="1621" xr:uid="{00000000-0005-0000-0000-000055060000}"/>
    <cellStyle name="40% - Accent6 2 4 2 2 2" xfId="1622" xr:uid="{00000000-0005-0000-0000-000056060000}"/>
    <cellStyle name="40% - Accent6 2 4 2 3" xfId="1623" xr:uid="{00000000-0005-0000-0000-000057060000}"/>
    <cellStyle name="40% - Accent6 2 4 3" xfId="1624" xr:uid="{00000000-0005-0000-0000-000058060000}"/>
    <cellStyle name="40% - Accent6 2 4 3 2" xfId="1625" xr:uid="{00000000-0005-0000-0000-000059060000}"/>
    <cellStyle name="40% - Accent6 2 4 4" xfId="1626" xr:uid="{00000000-0005-0000-0000-00005A060000}"/>
    <cellStyle name="40% - Accent6 2 5" xfId="1627" xr:uid="{00000000-0005-0000-0000-00005B060000}"/>
    <cellStyle name="40% - Accent6 2 5 2" xfId="1628" xr:uid="{00000000-0005-0000-0000-00005C060000}"/>
    <cellStyle name="40% - Accent6 2 5 2 2" xfId="1629" xr:uid="{00000000-0005-0000-0000-00005D060000}"/>
    <cellStyle name="40% - Accent6 2 5 2 2 2" xfId="1630" xr:uid="{00000000-0005-0000-0000-00005E060000}"/>
    <cellStyle name="40% - Accent6 2 5 2 3" xfId="1631" xr:uid="{00000000-0005-0000-0000-00005F060000}"/>
    <cellStyle name="40% - Accent6 2 5 3" xfId="1632" xr:uid="{00000000-0005-0000-0000-000060060000}"/>
    <cellStyle name="40% - Accent6 2 5 3 2" xfId="1633" xr:uid="{00000000-0005-0000-0000-000061060000}"/>
    <cellStyle name="40% - Accent6 2 5 3 2 2" xfId="1634" xr:uid="{00000000-0005-0000-0000-000062060000}"/>
    <cellStyle name="40% - Accent6 2 5 3 2 2 2" xfId="1635" xr:uid="{00000000-0005-0000-0000-000063060000}"/>
    <cellStyle name="40% - Accent6 2 5 3 2 3" xfId="1636" xr:uid="{00000000-0005-0000-0000-000064060000}"/>
    <cellStyle name="40% - Accent6 2 5 3 3" xfId="1637" xr:uid="{00000000-0005-0000-0000-000065060000}"/>
    <cellStyle name="40% - Accent6 2 5 3 3 2" xfId="1638" xr:uid="{00000000-0005-0000-0000-000066060000}"/>
    <cellStyle name="40% - Accent6 2 5 3 4" xfId="1639" xr:uid="{00000000-0005-0000-0000-000067060000}"/>
    <cellStyle name="40% - Accent6 2 5 4" xfId="1640" xr:uid="{00000000-0005-0000-0000-000068060000}"/>
    <cellStyle name="40% - Accent6 2 5 4 2" xfId="1641" xr:uid="{00000000-0005-0000-0000-000069060000}"/>
    <cellStyle name="40% - Accent6 2 5 5" xfId="1642" xr:uid="{00000000-0005-0000-0000-00006A060000}"/>
    <cellStyle name="40% - Accent6 2 6" xfId="1643" xr:uid="{00000000-0005-0000-0000-00006B060000}"/>
    <cellStyle name="40% - Accent6 2 6 2" xfId="1644" xr:uid="{00000000-0005-0000-0000-00006C060000}"/>
    <cellStyle name="40% - Accent6 2 6 2 2" xfId="1645" xr:uid="{00000000-0005-0000-0000-00006D060000}"/>
    <cellStyle name="40% - Accent6 2 6 3" xfId="1646" xr:uid="{00000000-0005-0000-0000-00006E060000}"/>
    <cellStyle name="40% - Accent6 2 7" xfId="1647" xr:uid="{00000000-0005-0000-0000-00006F060000}"/>
    <cellStyle name="40% - Accent6 2 7 2" xfId="1648" xr:uid="{00000000-0005-0000-0000-000070060000}"/>
    <cellStyle name="40% - Accent6 2 7 2 2" xfId="1649" xr:uid="{00000000-0005-0000-0000-000071060000}"/>
    <cellStyle name="40% - Accent6 2 7 3" xfId="1650" xr:uid="{00000000-0005-0000-0000-000072060000}"/>
    <cellStyle name="40% - Accent6 2 8" xfId="1651" xr:uid="{00000000-0005-0000-0000-000073060000}"/>
    <cellStyle name="40% - Accent6 2 8 2" xfId="1652" xr:uid="{00000000-0005-0000-0000-000074060000}"/>
    <cellStyle name="40% - Accent6 2 8 2 2" xfId="1653" xr:uid="{00000000-0005-0000-0000-000075060000}"/>
    <cellStyle name="40% - Accent6 2 8 2 2 2" xfId="1654" xr:uid="{00000000-0005-0000-0000-000076060000}"/>
    <cellStyle name="40% - Accent6 2 8 2 3" xfId="1655" xr:uid="{00000000-0005-0000-0000-000077060000}"/>
    <cellStyle name="40% - Accent6 2 8 3" xfId="1656" xr:uid="{00000000-0005-0000-0000-000078060000}"/>
    <cellStyle name="40% - Accent6 2 8 3 2" xfId="1657" xr:uid="{00000000-0005-0000-0000-000079060000}"/>
    <cellStyle name="40% - Accent6 2 8 4" xfId="1658" xr:uid="{00000000-0005-0000-0000-00007A060000}"/>
    <cellStyle name="40% - Accent6 2 9" xfId="1659" xr:uid="{00000000-0005-0000-0000-00007B060000}"/>
    <cellStyle name="40% - Accent6 2 9 2" xfId="1660" xr:uid="{00000000-0005-0000-0000-00007C060000}"/>
    <cellStyle name="40% - Accent6 3" xfId="1661" xr:uid="{00000000-0005-0000-0000-00007D060000}"/>
    <cellStyle name="40% - Accent6 3 2" xfId="1662" xr:uid="{00000000-0005-0000-0000-00007E060000}"/>
    <cellStyle name="40% - Accent6 3 2 2" xfId="1663" xr:uid="{00000000-0005-0000-0000-00007F060000}"/>
    <cellStyle name="40% - Accent6 3 2 2 2" xfId="1664" xr:uid="{00000000-0005-0000-0000-000080060000}"/>
    <cellStyle name="40% - Accent6 3 2 3" xfId="1665" xr:uid="{00000000-0005-0000-0000-000081060000}"/>
    <cellStyle name="40% - Accent6 3 3" xfId="1666" xr:uid="{00000000-0005-0000-0000-000082060000}"/>
    <cellStyle name="40% - Accent6 3 3 2" xfId="1667" xr:uid="{00000000-0005-0000-0000-000083060000}"/>
    <cellStyle name="40% - Accent6 3 4" xfId="1668" xr:uid="{00000000-0005-0000-0000-000084060000}"/>
    <cellStyle name="40% - Accent6 3 4 2" xfId="1669" xr:uid="{00000000-0005-0000-0000-000085060000}"/>
    <cellStyle name="40% - Accent6 3 4 2 2" xfId="1670" xr:uid="{00000000-0005-0000-0000-000086060000}"/>
    <cellStyle name="40% - Accent6 3 4 3" xfId="1671" xr:uid="{00000000-0005-0000-0000-000087060000}"/>
    <cellStyle name="40% - Accent6 3 5" xfId="1672" xr:uid="{00000000-0005-0000-0000-000088060000}"/>
    <cellStyle name="40% - Accent6 4" xfId="1673" xr:uid="{00000000-0005-0000-0000-000089060000}"/>
    <cellStyle name="40% - Accent6 4 2" xfId="1674" xr:uid="{00000000-0005-0000-0000-00008A060000}"/>
    <cellStyle name="40% - Accent6 4 2 2" xfId="1675" xr:uid="{00000000-0005-0000-0000-00008B060000}"/>
    <cellStyle name="40% - Accent6 4 3" xfId="1676" xr:uid="{00000000-0005-0000-0000-00008C060000}"/>
    <cellStyle name="40% - Accent6 4 3 2" xfId="1677" xr:uid="{00000000-0005-0000-0000-00008D060000}"/>
    <cellStyle name="40% - Accent6 4 3 2 2" xfId="1678" xr:uid="{00000000-0005-0000-0000-00008E060000}"/>
    <cellStyle name="40% - Accent6 4 3 3" xfId="1679" xr:uid="{00000000-0005-0000-0000-00008F060000}"/>
    <cellStyle name="40% - Accent6 4 4" xfId="1680" xr:uid="{00000000-0005-0000-0000-000090060000}"/>
    <cellStyle name="40% - Accent6 5" xfId="1681" xr:uid="{00000000-0005-0000-0000-000091060000}"/>
    <cellStyle name="40% - Accent6 5 2" xfId="1682" xr:uid="{00000000-0005-0000-0000-000092060000}"/>
    <cellStyle name="40% - Accent6 5 2 2" xfId="1683" xr:uid="{00000000-0005-0000-0000-000093060000}"/>
    <cellStyle name="40% - Accent6 5 2 2 2" xfId="1684" xr:uid="{00000000-0005-0000-0000-000094060000}"/>
    <cellStyle name="40% - Accent6 5 2 3" xfId="1685" xr:uid="{00000000-0005-0000-0000-000095060000}"/>
    <cellStyle name="40% - Accent6 5 3" xfId="1686" xr:uid="{00000000-0005-0000-0000-000096060000}"/>
    <cellStyle name="40% - Accent6 5 3 2" xfId="1687" xr:uid="{00000000-0005-0000-0000-000097060000}"/>
    <cellStyle name="40% - Accent6 5 3 2 2" xfId="1688" xr:uid="{00000000-0005-0000-0000-000098060000}"/>
    <cellStyle name="40% - Accent6 5 3 2 2 2" xfId="1689" xr:uid="{00000000-0005-0000-0000-000099060000}"/>
    <cellStyle name="40% - Accent6 5 3 2 3" xfId="1690" xr:uid="{00000000-0005-0000-0000-00009A060000}"/>
    <cellStyle name="40% - Accent6 5 3 3" xfId="1691" xr:uid="{00000000-0005-0000-0000-00009B060000}"/>
    <cellStyle name="40% - Accent6 5 3 3 2" xfId="1692" xr:uid="{00000000-0005-0000-0000-00009C060000}"/>
    <cellStyle name="40% - Accent6 5 3 4" xfId="1693" xr:uid="{00000000-0005-0000-0000-00009D060000}"/>
    <cellStyle name="40% - Accent6 5 4" xfId="1694" xr:uid="{00000000-0005-0000-0000-00009E060000}"/>
    <cellStyle name="40% - Accent6 5 4 2" xfId="1695" xr:uid="{00000000-0005-0000-0000-00009F060000}"/>
    <cellStyle name="40% - Accent6 5 5" xfId="1696" xr:uid="{00000000-0005-0000-0000-0000A0060000}"/>
    <cellStyle name="40% - Accent6 6" xfId="1697" xr:uid="{00000000-0005-0000-0000-0000A1060000}"/>
    <cellStyle name="40% - Accent6 6 2" xfId="1698" xr:uid="{00000000-0005-0000-0000-0000A2060000}"/>
    <cellStyle name="40% - Accent6 6 2 2" xfId="1699" xr:uid="{00000000-0005-0000-0000-0000A3060000}"/>
    <cellStyle name="40% - Accent6 6 2 2 2" xfId="1700" xr:uid="{00000000-0005-0000-0000-0000A4060000}"/>
    <cellStyle name="40% - Accent6 6 2 3" xfId="1701" xr:uid="{00000000-0005-0000-0000-0000A5060000}"/>
    <cellStyle name="40% - Accent6 6 3" xfId="1702" xr:uid="{00000000-0005-0000-0000-0000A6060000}"/>
    <cellStyle name="40% - Accent6 6 3 2" xfId="1703" xr:uid="{00000000-0005-0000-0000-0000A7060000}"/>
    <cellStyle name="40% - Accent6 6 4" xfId="1704" xr:uid="{00000000-0005-0000-0000-0000A8060000}"/>
    <cellStyle name="40% - Accent6 7" xfId="1705" xr:uid="{00000000-0005-0000-0000-0000A9060000}"/>
    <cellStyle name="40% - Accent6 8" xfId="1706" xr:uid="{00000000-0005-0000-0000-0000AA060000}"/>
    <cellStyle name="60% - Accent1 2" xfId="1707" xr:uid="{00000000-0005-0000-0000-0000AB060000}"/>
    <cellStyle name="60% - Accent1 2 10" xfId="1708" xr:uid="{00000000-0005-0000-0000-0000AC060000}"/>
    <cellStyle name="60% - Accent1 2 2" xfId="1709" xr:uid="{00000000-0005-0000-0000-0000AD060000}"/>
    <cellStyle name="60% - Accent1 2 2 2" xfId="1710" xr:uid="{00000000-0005-0000-0000-0000AE060000}"/>
    <cellStyle name="60% - Accent1 2 2 2 2" xfId="1711" xr:uid="{00000000-0005-0000-0000-0000AF060000}"/>
    <cellStyle name="60% - Accent1 2 2 3" xfId="1712" xr:uid="{00000000-0005-0000-0000-0000B0060000}"/>
    <cellStyle name="60% - Accent1 2 2 3 2" xfId="1713" xr:uid="{00000000-0005-0000-0000-0000B1060000}"/>
    <cellStyle name="60% - Accent1 2 2 3 2 2" xfId="1714" xr:uid="{00000000-0005-0000-0000-0000B2060000}"/>
    <cellStyle name="60% - Accent1 2 2 3 3" xfId="1715" xr:uid="{00000000-0005-0000-0000-0000B3060000}"/>
    <cellStyle name="60% - Accent1 2 2 4" xfId="1716" xr:uid="{00000000-0005-0000-0000-0000B4060000}"/>
    <cellStyle name="60% - Accent1 2 3" xfId="1717" xr:uid="{00000000-0005-0000-0000-0000B5060000}"/>
    <cellStyle name="60% - Accent1 2 3 2" xfId="1718" xr:uid="{00000000-0005-0000-0000-0000B6060000}"/>
    <cellStyle name="60% - Accent1 2 3 2 2" xfId="1719" xr:uid="{00000000-0005-0000-0000-0000B7060000}"/>
    <cellStyle name="60% - Accent1 2 3 3" xfId="1720" xr:uid="{00000000-0005-0000-0000-0000B8060000}"/>
    <cellStyle name="60% - Accent1 2 3 3 2" xfId="1721" xr:uid="{00000000-0005-0000-0000-0000B9060000}"/>
    <cellStyle name="60% - Accent1 2 3 3 2 2" xfId="1722" xr:uid="{00000000-0005-0000-0000-0000BA060000}"/>
    <cellStyle name="60% - Accent1 2 3 3 3" xfId="1723" xr:uid="{00000000-0005-0000-0000-0000BB060000}"/>
    <cellStyle name="60% - Accent1 2 3 4" xfId="1724" xr:uid="{00000000-0005-0000-0000-0000BC060000}"/>
    <cellStyle name="60% - Accent1 2 4" xfId="1725" xr:uid="{00000000-0005-0000-0000-0000BD060000}"/>
    <cellStyle name="60% - Accent1 2 4 2" xfId="1726" xr:uid="{00000000-0005-0000-0000-0000BE060000}"/>
    <cellStyle name="60% - Accent1 2 4 2 2" xfId="1727" xr:uid="{00000000-0005-0000-0000-0000BF060000}"/>
    <cellStyle name="60% - Accent1 2 4 3" xfId="1728" xr:uid="{00000000-0005-0000-0000-0000C0060000}"/>
    <cellStyle name="60% - Accent1 2 5" xfId="1729" xr:uid="{00000000-0005-0000-0000-0000C1060000}"/>
    <cellStyle name="60% - Accent1 2 5 2" xfId="1730" xr:uid="{00000000-0005-0000-0000-0000C2060000}"/>
    <cellStyle name="60% - Accent1 2 5 2 2" xfId="1731" xr:uid="{00000000-0005-0000-0000-0000C3060000}"/>
    <cellStyle name="60% - Accent1 2 5 3" xfId="1732" xr:uid="{00000000-0005-0000-0000-0000C4060000}"/>
    <cellStyle name="60% - Accent1 2 5 3 2" xfId="1733" xr:uid="{00000000-0005-0000-0000-0000C5060000}"/>
    <cellStyle name="60% - Accent1 2 5 3 2 2" xfId="1734" xr:uid="{00000000-0005-0000-0000-0000C6060000}"/>
    <cellStyle name="60% - Accent1 2 5 3 3" xfId="1735" xr:uid="{00000000-0005-0000-0000-0000C7060000}"/>
    <cellStyle name="60% - Accent1 2 5 4" xfId="1736" xr:uid="{00000000-0005-0000-0000-0000C8060000}"/>
    <cellStyle name="60% - Accent1 2 6" xfId="1737" xr:uid="{00000000-0005-0000-0000-0000C9060000}"/>
    <cellStyle name="60% - Accent1 2 6 2" xfId="1738" xr:uid="{00000000-0005-0000-0000-0000CA060000}"/>
    <cellStyle name="60% - Accent1 2 7" xfId="1739" xr:uid="{00000000-0005-0000-0000-0000CB060000}"/>
    <cellStyle name="60% - Accent1 2 7 2" xfId="1740" xr:uid="{00000000-0005-0000-0000-0000CC060000}"/>
    <cellStyle name="60% - Accent1 2 8" xfId="1741" xr:uid="{00000000-0005-0000-0000-0000CD060000}"/>
    <cellStyle name="60% - Accent1 2 8 2" xfId="1742" xr:uid="{00000000-0005-0000-0000-0000CE060000}"/>
    <cellStyle name="60% - Accent1 2 8 2 2" xfId="1743" xr:uid="{00000000-0005-0000-0000-0000CF060000}"/>
    <cellStyle name="60% - Accent1 2 8 3" xfId="1744" xr:uid="{00000000-0005-0000-0000-0000D0060000}"/>
    <cellStyle name="60% - Accent1 2 9" xfId="1745" xr:uid="{00000000-0005-0000-0000-0000D1060000}"/>
    <cellStyle name="60% - Accent1 2 9 2" xfId="1746" xr:uid="{00000000-0005-0000-0000-0000D2060000}"/>
    <cellStyle name="60% - Accent1 2 9 2 2" xfId="1747" xr:uid="{00000000-0005-0000-0000-0000D3060000}"/>
    <cellStyle name="60% - Accent1 2 9 3" xfId="1748" xr:uid="{00000000-0005-0000-0000-0000D4060000}"/>
    <cellStyle name="60% - Accent1 3" xfId="1749" xr:uid="{00000000-0005-0000-0000-0000D5060000}"/>
    <cellStyle name="60% - Accent1 3 2" xfId="1750" xr:uid="{00000000-0005-0000-0000-0000D6060000}"/>
    <cellStyle name="60% - Accent1 3 2 2" xfId="1751" xr:uid="{00000000-0005-0000-0000-0000D7060000}"/>
    <cellStyle name="60% - Accent1 3 3" xfId="1752" xr:uid="{00000000-0005-0000-0000-0000D8060000}"/>
    <cellStyle name="60% - Accent1 3 3 2" xfId="1753" xr:uid="{00000000-0005-0000-0000-0000D9060000}"/>
    <cellStyle name="60% - Accent1 3 4" xfId="1754" xr:uid="{00000000-0005-0000-0000-0000DA060000}"/>
    <cellStyle name="60% - Accent1 3 4 2" xfId="1755" xr:uid="{00000000-0005-0000-0000-0000DB060000}"/>
    <cellStyle name="60% - Accent1 3 4 2 2" xfId="1756" xr:uid="{00000000-0005-0000-0000-0000DC060000}"/>
    <cellStyle name="60% - Accent1 3 4 3" xfId="1757" xr:uid="{00000000-0005-0000-0000-0000DD060000}"/>
    <cellStyle name="60% - Accent1 3 5" xfId="1758" xr:uid="{00000000-0005-0000-0000-0000DE060000}"/>
    <cellStyle name="60% - Accent1 4" xfId="1759" xr:uid="{00000000-0005-0000-0000-0000DF060000}"/>
    <cellStyle name="60% - Accent1 4 2" xfId="1760" xr:uid="{00000000-0005-0000-0000-0000E0060000}"/>
    <cellStyle name="60% - Accent1 4 2 2" xfId="1761" xr:uid="{00000000-0005-0000-0000-0000E1060000}"/>
    <cellStyle name="60% - Accent1 4 3" xfId="1762" xr:uid="{00000000-0005-0000-0000-0000E2060000}"/>
    <cellStyle name="60% - Accent1 4 3 2" xfId="1763" xr:uid="{00000000-0005-0000-0000-0000E3060000}"/>
    <cellStyle name="60% - Accent1 4 3 2 2" xfId="1764" xr:uid="{00000000-0005-0000-0000-0000E4060000}"/>
    <cellStyle name="60% - Accent1 4 3 3" xfId="1765" xr:uid="{00000000-0005-0000-0000-0000E5060000}"/>
    <cellStyle name="60% - Accent1 4 4" xfId="1766" xr:uid="{00000000-0005-0000-0000-0000E6060000}"/>
    <cellStyle name="60% - Accent1 5" xfId="1767" xr:uid="{00000000-0005-0000-0000-0000E7060000}"/>
    <cellStyle name="60% - Accent1 5 2" xfId="1768" xr:uid="{00000000-0005-0000-0000-0000E8060000}"/>
    <cellStyle name="60% - Accent1 5 2 2" xfId="1769" xr:uid="{00000000-0005-0000-0000-0000E9060000}"/>
    <cellStyle name="60% - Accent1 5 3" xfId="1770" xr:uid="{00000000-0005-0000-0000-0000EA060000}"/>
    <cellStyle name="60% - Accent1 5 3 2" xfId="1771" xr:uid="{00000000-0005-0000-0000-0000EB060000}"/>
    <cellStyle name="60% - Accent1 5 3 2 2" xfId="1772" xr:uid="{00000000-0005-0000-0000-0000EC060000}"/>
    <cellStyle name="60% - Accent1 5 3 3" xfId="1773" xr:uid="{00000000-0005-0000-0000-0000ED060000}"/>
    <cellStyle name="60% - Accent1 5 4" xfId="1774" xr:uid="{00000000-0005-0000-0000-0000EE060000}"/>
    <cellStyle name="60% - Accent1 6" xfId="1775" xr:uid="{00000000-0005-0000-0000-0000EF060000}"/>
    <cellStyle name="60% - Accent1 6 2" xfId="1776" xr:uid="{00000000-0005-0000-0000-0000F0060000}"/>
    <cellStyle name="60% - Accent1 6 2 2" xfId="1777" xr:uid="{00000000-0005-0000-0000-0000F1060000}"/>
    <cellStyle name="60% - Accent1 6 3" xfId="1778" xr:uid="{00000000-0005-0000-0000-0000F2060000}"/>
    <cellStyle name="60% - Accent1 7" xfId="1779" xr:uid="{00000000-0005-0000-0000-0000F3060000}"/>
    <cellStyle name="60% - Accent1 8" xfId="1780" xr:uid="{00000000-0005-0000-0000-0000F4060000}"/>
    <cellStyle name="60% - Accent2 2" xfId="1781" xr:uid="{00000000-0005-0000-0000-0000F5060000}"/>
    <cellStyle name="60% - Accent2 2 10" xfId="1782" xr:uid="{00000000-0005-0000-0000-0000F6060000}"/>
    <cellStyle name="60% - Accent2 2 2" xfId="1783" xr:uid="{00000000-0005-0000-0000-0000F7060000}"/>
    <cellStyle name="60% - Accent2 2 2 2" xfId="1784" xr:uid="{00000000-0005-0000-0000-0000F8060000}"/>
    <cellStyle name="60% - Accent2 2 2 2 2" xfId="1785" xr:uid="{00000000-0005-0000-0000-0000F9060000}"/>
    <cellStyle name="60% - Accent2 2 2 3" xfId="1786" xr:uid="{00000000-0005-0000-0000-0000FA060000}"/>
    <cellStyle name="60% - Accent2 2 2 3 2" xfId="1787" xr:uid="{00000000-0005-0000-0000-0000FB060000}"/>
    <cellStyle name="60% - Accent2 2 2 3 2 2" xfId="1788" xr:uid="{00000000-0005-0000-0000-0000FC060000}"/>
    <cellStyle name="60% - Accent2 2 2 3 3" xfId="1789" xr:uid="{00000000-0005-0000-0000-0000FD060000}"/>
    <cellStyle name="60% - Accent2 2 2 4" xfId="1790" xr:uid="{00000000-0005-0000-0000-0000FE060000}"/>
    <cellStyle name="60% - Accent2 2 3" xfId="1791" xr:uid="{00000000-0005-0000-0000-0000FF060000}"/>
    <cellStyle name="60% - Accent2 2 3 2" xfId="1792" xr:uid="{00000000-0005-0000-0000-000000070000}"/>
    <cellStyle name="60% - Accent2 2 3 2 2" xfId="1793" xr:uid="{00000000-0005-0000-0000-000001070000}"/>
    <cellStyle name="60% - Accent2 2 3 3" xfId="1794" xr:uid="{00000000-0005-0000-0000-000002070000}"/>
    <cellStyle name="60% - Accent2 2 3 3 2" xfId="1795" xr:uid="{00000000-0005-0000-0000-000003070000}"/>
    <cellStyle name="60% - Accent2 2 3 3 2 2" xfId="1796" xr:uid="{00000000-0005-0000-0000-000004070000}"/>
    <cellStyle name="60% - Accent2 2 3 3 3" xfId="1797" xr:uid="{00000000-0005-0000-0000-000005070000}"/>
    <cellStyle name="60% - Accent2 2 3 4" xfId="1798" xr:uid="{00000000-0005-0000-0000-000006070000}"/>
    <cellStyle name="60% - Accent2 2 4" xfId="1799" xr:uid="{00000000-0005-0000-0000-000007070000}"/>
    <cellStyle name="60% - Accent2 2 4 2" xfId="1800" xr:uid="{00000000-0005-0000-0000-000008070000}"/>
    <cellStyle name="60% - Accent2 2 4 2 2" xfId="1801" xr:uid="{00000000-0005-0000-0000-000009070000}"/>
    <cellStyle name="60% - Accent2 2 4 3" xfId="1802" xr:uid="{00000000-0005-0000-0000-00000A070000}"/>
    <cellStyle name="60% - Accent2 2 5" xfId="1803" xr:uid="{00000000-0005-0000-0000-00000B070000}"/>
    <cellStyle name="60% - Accent2 2 5 2" xfId="1804" xr:uid="{00000000-0005-0000-0000-00000C070000}"/>
    <cellStyle name="60% - Accent2 2 5 2 2" xfId="1805" xr:uid="{00000000-0005-0000-0000-00000D070000}"/>
    <cellStyle name="60% - Accent2 2 5 3" xfId="1806" xr:uid="{00000000-0005-0000-0000-00000E070000}"/>
    <cellStyle name="60% - Accent2 2 5 3 2" xfId="1807" xr:uid="{00000000-0005-0000-0000-00000F070000}"/>
    <cellStyle name="60% - Accent2 2 5 3 2 2" xfId="1808" xr:uid="{00000000-0005-0000-0000-000010070000}"/>
    <cellStyle name="60% - Accent2 2 5 3 3" xfId="1809" xr:uid="{00000000-0005-0000-0000-000011070000}"/>
    <cellStyle name="60% - Accent2 2 5 4" xfId="1810" xr:uid="{00000000-0005-0000-0000-000012070000}"/>
    <cellStyle name="60% - Accent2 2 6" xfId="1811" xr:uid="{00000000-0005-0000-0000-000013070000}"/>
    <cellStyle name="60% - Accent2 2 6 2" xfId="1812" xr:uid="{00000000-0005-0000-0000-000014070000}"/>
    <cellStyle name="60% - Accent2 2 7" xfId="1813" xr:uid="{00000000-0005-0000-0000-000015070000}"/>
    <cellStyle name="60% - Accent2 2 7 2" xfId="1814" xr:uid="{00000000-0005-0000-0000-000016070000}"/>
    <cellStyle name="60% - Accent2 2 8" xfId="1815" xr:uid="{00000000-0005-0000-0000-000017070000}"/>
    <cellStyle name="60% - Accent2 2 8 2" xfId="1816" xr:uid="{00000000-0005-0000-0000-000018070000}"/>
    <cellStyle name="60% - Accent2 2 8 2 2" xfId="1817" xr:uid="{00000000-0005-0000-0000-000019070000}"/>
    <cellStyle name="60% - Accent2 2 8 3" xfId="1818" xr:uid="{00000000-0005-0000-0000-00001A070000}"/>
    <cellStyle name="60% - Accent2 2 9" xfId="1819" xr:uid="{00000000-0005-0000-0000-00001B070000}"/>
    <cellStyle name="60% - Accent2 2 9 2" xfId="1820" xr:uid="{00000000-0005-0000-0000-00001C070000}"/>
    <cellStyle name="60% - Accent2 2 9 2 2" xfId="1821" xr:uid="{00000000-0005-0000-0000-00001D070000}"/>
    <cellStyle name="60% - Accent2 2 9 3" xfId="1822" xr:uid="{00000000-0005-0000-0000-00001E070000}"/>
    <cellStyle name="60% - Accent2 3" xfId="1823" xr:uid="{00000000-0005-0000-0000-00001F070000}"/>
    <cellStyle name="60% - Accent2 3 2" xfId="1824" xr:uid="{00000000-0005-0000-0000-000020070000}"/>
    <cellStyle name="60% - Accent2 3 2 2" xfId="1825" xr:uid="{00000000-0005-0000-0000-000021070000}"/>
    <cellStyle name="60% - Accent2 3 3" xfId="1826" xr:uid="{00000000-0005-0000-0000-000022070000}"/>
    <cellStyle name="60% - Accent2 3 3 2" xfId="1827" xr:uid="{00000000-0005-0000-0000-000023070000}"/>
    <cellStyle name="60% - Accent2 3 4" xfId="1828" xr:uid="{00000000-0005-0000-0000-000024070000}"/>
    <cellStyle name="60% - Accent2 3 4 2" xfId="1829" xr:uid="{00000000-0005-0000-0000-000025070000}"/>
    <cellStyle name="60% - Accent2 3 4 2 2" xfId="1830" xr:uid="{00000000-0005-0000-0000-000026070000}"/>
    <cellStyle name="60% - Accent2 3 4 3" xfId="1831" xr:uid="{00000000-0005-0000-0000-000027070000}"/>
    <cellStyle name="60% - Accent2 3 5" xfId="1832" xr:uid="{00000000-0005-0000-0000-000028070000}"/>
    <cellStyle name="60% - Accent2 4" xfId="1833" xr:uid="{00000000-0005-0000-0000-000029070000}"/>
    <cellStyle name="60% - Accent2 4 2" xfId="1834" xr:uid="{00000000-0005-0000-0000-00002A070000}"/>
    <cellStyle name="60% - Accent2 4 2 2" xfId="1835" xr:uid="{00000000-0005-0000-0000-00002B070000}"/>
    <cellStyle name="60% - Accent2 4 3" xfId="1836" xr:uid="{00000000-0005-0000-0000-00002C070000}"/>
    <cellStyle name="60% - Accent2 4 3 2" xfId="1837" xr:uid="{00000000-0005-0000-0000-00002D070000}"/>
    <cellStyle name="60% - Accent2 4 3 2 2" xfId="1838" xr:uid="{00000000-0005-0000-0000-00002E070000}"/>
    <cellStyle name="60% - Accent2 4 3 3" xfId="1839" xr:uid="{00000000-0005-0000-0000-00002F070000}"/>
    <cellStyle name="60% - Accent2 4 4" xfId="1840" xr:uid="{00000000-0005-0000-0000-000030070000}"/>
    <cellStyle name="60% - Accent2 5" xfId="1841" xr:uid="{00000000-0005-0000-0000-000031070000}"/>
    <cellStyle name="60% - Accent2 5 2" xfId="1842" xr:uid="{00000000-0005-0000-0000-000032070000}"/>
    <cellStyle name="60% - Accent2 5 2 2" xfId="1843" xr:uid="{00000000-0005-0000-0000-000033070000}"/>
    <cellStyle name="60% - Accent2 5 3" xfId="1844" xr:uid="{00000000-0005-0000-0000-000034070000}"/>
    <cellStyle name="60% - Accent2 5 3 2" xfId="1845" xr:uid="{00000000-0005-0000-0000-000035070000}"/>
    <cellStyle name="60% - Accent2 5 3 2 2" xfId="1846" xr:uid="{00000000-0005-0000-0000-000036070000}"/>
    <cellStyle name="60% - Accent2 5 3 3" xfId="1847" xr:uid="{00000000-0005-0000-0000-000037070000}"/>
    <cellStyle name="60% - Accent2 5 4" xfId="1848" xr:uid="{00000000-0005-0000-0000-000038070000}"/>
    <cellStyle name="60% - Accent2 6" xfId="1849" xr:uid="{00000000-0005-0000-0000-000039070000}"/>
    <cellStyle name="60% - Accent2 6 2" xfId="1850" xr:uid="{00000000-0005-0000-0000-00003A070000}"/>
    <cellStyle name="60% - Accent2 6 2 2" xfId="1851" xr:uid="{00000000-0005-0000-0000-00003B070000}"/>
    <cellStyle name="60% - Accent2 6 3" xfId="1852" xr:uid="{00000000-0005-0000-0000-00003C070000}"/>
    <cellStyle name="60% - Accent2 7" xfId="1853" xr:uid="{00000000-0005-0000-0000-00003D070000}"/>
    <cellStyle name="60% - Accent2 8" xfId="1854" xr:uid="{00000000-0005-0000-0000-00003E070000}"/>
    <cellStyle name="60% - Accent3 2" xfId="1855" xr:uid="{00000000-0005-0000-0000-00003F070000}"/>
    <cellStyle name="60% - Accent3 2 10" xfId="1856" xr:uid="{00000000-0005-0000-0000-000040070000}"/>
    <cellStyle name="60% - Accent3 2 2" xfId="1857" xr:uid="{00000000-0005-0000-0000-000041070000}"/>
    <cellStyle name="60% - Accent3 2 2 2" xfId="1858" xr:uid="{00000000-0005-0000-0000-000042070000}"/>
    <cellStyle name="60% - Accent3 2 2 2 2" xfId="1859" xr:uid="{00000000-0005-0000-0000-000043070000}"/>
    <cellStyle name="60% - Accent3 2 2 3" xfId="1860" xr:uid="{00000000-0005-0000-0000-000044070000}"/>
    <cellStyle name="60% - Accent3 2 2 3 2" xfId="1861" xr:uid="{00000000-0005-0000-0000-000045070000}"/>
    <cellStyle name="60% - Accent3 2 2 3 2 2" xfId="1862" xr:uid="{00000000-0005-0000-0000-000046070000}"/>
    <cellStyle name="60% - Accent3 2 2 3 3" xfId="1863" xr:uid="{00000000-0005-0000-0000-000047070000}"/>
    <cellStyle name="60% - Accent3 2 2 4" xfId="1864" xr:uid="{00000000-0005-0000-0000-000048070000}"/>
    <cellStyle name="60% - Accent3 2 3" xfId="1865" xr:uid="{00000000-0005-0000-0000-000049070000}"/>
    <cellStyle name="60% - Accent3 2 3 2" xfId="1866" xr:uid="{00000000-0005-0000-0000-00004A070000}"/>
    <cellStyle name="60% - Accent3 2 3 2 2" xfId="1867" xr:uid="{00000000-0005-0000-0000-00004B070000}"/>
    <cellStyle name="60% - Accent3 2 3 3" xfId="1868" xr:uid="{00000000-0005-0000-0000-00004C070000}"/>
    <cellStyle name="60% - Accent3 2 3 3 2" xfId="1869" xr:uid="{00000000-0005-0000-0000-00004D070000}"/>
    <cellStyle name="60% - Accent3 2 3 3 2 2" xfId="1870" xr:uid="{00000000-0005-0000-0000-00004E070000}"/>
    <cellStyle name="60% - Accent3 2 3 3 3" xfId="1871" xr:uid="{00000000-0005-0000-0000-00004F070000}"/>
    <cellStyle name="60% - Accent3 2 3 4" xfId="1872" xr:uid="{00000000-0005-0000-0000-000050070000}"/>
    <cellStyle name="60% - Accent3 2 4" xfId="1873" xr:uid="{00000000-0005-0000-0000-000051070000}"/>
    <cellStyle name="60% - Accent3 2 4 2" xfId="1874" xr:uid="{00000000-0005-0000-0000-000052070000}"/>
    <cellStyle name="60% - Accent3 2 4 2 2" xfId="1875" xr:uid="{00000000-0005-0000-0000-000053070000}"/>
    <cellStyle name="60% - Accent3 2 4 3" xfId="1876" xr:uid="{00000000-0005-0000-0000-000054070000}"/>
    <cellStyle name="60% - Accent3 2 5" xfId="1877" xr:uid="{00000000-0005-0000-0000-000055070000}"/>
    <cellStyle name="60% - Accent3 2 5 2" xfId="1878" xr:uid="{00000000-0005-0000-0000-000056070000}"/>
    <cellStyle name="60% - Accent3 2 5 2 2" xfId="1879" xr:uid="{00000000-0005-0000-0000-000057070000}"/>
    <cellStyle name="60% - Accent3 2 5 3" xfId="1880" xr:uid="{00000000-0005-0000-0000-000058070000}"/>
    <cellStyle name="60% - Accent3 2 5 3 2" xfId="1881" xr:uid="{00000000-0005-0000-0000-000059070000}"/>
    <cellStyle name="60% - Accent3 2 5 3 2 2" xfId="1882" xr:uid="{00000000-0005-0000-0000-00005A070000}"/>
    <cellStyle name="60% - Accent3 2 5 3 3" xfId="1883" xr:uid="{00000000-0005-0000-0000-00005B070000}"/>
    <cellStyle name="60% - Accent3 2 5 4" xfId="1884" xr:uid="{00000000-0005-0000-0000-00005C070000}"/>
    <cellStyle name="60% - Accent3 2 6" xfId="1885" xr:uid="{00000000-0005-0000-0000-00005D070000}"/>
    <cellStyle name="60% - Accent3 2 6 2" xfId="1886" xr:uid="{00000000-0005-0000-0000-00005E070000}"/>
    <cellStyle name="60% - Accent3 2 7" xfId="1887" xr:uid="{00000000-0005-0000-0000-00005F070000}"/>
    <cellStyle name="60% - Accent3 2 7 2" xfId="1888" xr:uid="{00000000-0005-0000-0000-000060070000}"/>
    <cellStyle name="60% - Accent3 2 8" xfId="1889" xr:uid="{00000000-0005-0000-0000-000061070000}"/>
    <cellStyle name="60% - Accent3 2 8 2" xfId="1890" xr:uid="{00000000-0005-0000-0000-000062070000}"/>
    <cellStyle name="60% - Accent3 2 8 2 2" xfId="1891" xr:uid="{00000000-0005-0000-0000-000063070000}"/>
    <cellStyle name="60% - Accent3 2 8 3" xfId="1892" xr:uid="{00000000-0005-0000-0000-000064070000}"/>
    <cellStyle name="60% - Accent3 2 9" xfId="1893" xr:uid="{00000000-0005-0000-0000-000065070000}"/>
    <cellStyle name="60% - Accent3 2 9 2" xfId="1894" xr:uid="{00000000-0005-0000-0000-000066070000}"/>
    <cellStyle name="60% - Accent3 2 9 2 2" xfId="1895" xr:uid="{00000000-0005-0000-0000-000067070000}"/>
    <cellStyle name="60% - Accent3 2 9 3" xfId="1896" xr:uid="{00000000-0005-0000-0000-000068070000}"/>
    <cellStyle name="60% - Accent3 3" xfId="1897" xr:uid="{00000000-0005-0000-0000-000069070000}"/>
    <cellStyle name="60% - Accent3 3 2" xfId="1898" xr:uid="{00000000-0005-0000-0000-00006A070000}"/>
    <cellStyle name="60% - Accent3 3 2 2" xfId="1899" xr:uid="{00000000-0005-0000-0000-00006B070000}"/>
    <cellStyle name="60% - Accent3 3 3" xfId="1900" xr:uid="{00000000-0005-0000-0000-00006C070000}"/>
    <cellStyle name="60% - Accent3 3 3 2" xfId="1901" xr:uid="{00000000-0005-0000-0000-00006D070000}"/>
    <cellStyle name="60% - Accent3 3 4" xfId="1902" xr:uid="{00000000-0005-0000-0000-00006E070000}"/>
    <cellStyle name="60% - Accent3 3 4 2" xfId="1903" xr:uid="{00000000-0005-0000-0000-00006F070000}"/>
    <cellStyle name="60% - Accent3 3 4 2 2" xfId="1904" xr:uid="{00000000-0005-0000-0000-000070070000}"/>
    <cellStyle name="60% - Accent3 3 4 3" xfId="1905" xr:uid="{00000000-0005-0000-0000-000071070000}"/>
    <cellStyle name="60% - Accent3 3 5" xfId="1906" xr:uid="{00000000-0005-0000-0000-000072070000}"/>
    <cellStyle name="60% - Accent3 4" xfId="1907" xr:uid="{00000000-0005-0000-0000-000073070000}"/>
    <cellStyle name="60% - Accent3 4 2" xfId="1908" xr:uid="{00000000-0005-0000-0000-000074070000}"/>
    <cellStyle name="60% - Accent3 4 2 2" xfId="1909" xr:uid="{00000000-0005-0000-0000-000075070000}"/>
    <cellStyle name="60% - Accent3 4 3" xfId="1910" xr:uid="{00000000-0005-0000-0000-000076070000}"/>
    <cellStyle name="60% - Accent3 4 3 2" xfId="1911" xr:uid="{00000000-0005-0000-0000-000077070000}"/>
    <cellStyle name="60% - Accent3 4 3 2 2" xfId="1912" xr:uid="{00000000-0005-0000-0000-000078070000}"/>
    <cellStyle name="60% - Accent3 4 3 3" xfId="1913" xr:uid="{00000000-0005-0000-0000-000079070000}"/>
    <cellStyle name="60% - Accent3 4 4" xfId="1914" xr:uid="{00000000-0005-0000-0000-00007A070000}"/>
    <cellStyle name="60% - Accent3 5" xfId="1915" xr:uid="{00000000-0005-0000-0000-00007B070000}"/>
    <cellStyle name="60% - Accent3 5 2" xfId="1916" xr:uid="{00000000-0005-0000-0000-00007C070000}"/>
    <cellStyle name="60% - Accent3 5 2 2" xfId="1917" xr:uid="{00000000-0005-0000-0000-00007D070000}"/>
    <cellStyle name="60% - Accent3 5 3" xfId="1918" xr:uid="{00000000-0005-0000-0000-00007E070000}"/>
    <cellStyle name="60% - Accent3 5 3 2" xfId="1919" xr:uid="{00000000-0005-0000-0000-00007F070000}"/>
    <cellStyle name="60% - Accent3 5 3 2 2" xfId="1920" xr:uid="{00000000-0005-0000-0000-000080070000}"/>
    <cellStyle name="60% - Accent3 5 3 3" xfId="1921" xr:uid="{00000000-0005-0000-0000-000081070000}"/>
    <cellStyle name="60% - Accent3 5 4" xfId="1922" xr:uid="{00000000-0005-0000-0000-000082070000}"/>
    <cellStyle name="60% - Accent3 6" xfId="1923" xr:uid="{00000000-0005-0000-0000-000083070000}"/>
    <cellStyle name="60% - Accent3 6 2" xfId="1924" xr:uid="{00000000-0005-0000-0000-000084070000}"/>
    <cellStyle name="60% - Accent3 6 2 2" xfId="1925" xr:uid="{00000000-0005-0000-0000-000085070000}"/>
    <cellStyle name="60% - Accent3 6 3" xfId="1926" xr:uid="{00000000-0005-0000-0000-000086070000}"/>
    <cellStyle name="60% - Accent3 7" xfId="1927" xr:uid="{00000000-0005-0000-0000-000087070000}"/>
    <cellStyle name="60% - Accent3 8" xfId="1928" xr:uid="{00000000-0005-0000-0000-000088070000}"/>
    <cellStyle name="60% - Accent4 2" xfId="1929" xr:uid="{00000000-0005-0000-0000-000089070000}"/>
    <cellStyle name="60% - Accent4 2 10" xfId="1930" xr:uid="{00000000-0005-0000-0000-00008A070000}"/>
    <cellStyle name="60% - Accent4 2 2" xfId="1931" xr:uid="{00000000-0005-0000-0000-00008B070000}"/>
    <cellStyle name="60% - Accent4 2 2 2" xfId="1932" xr:uid="{00000000-0005-0000-0000-00008C070000}"/>
    <cellStyle name="60% - Accent4 2 2 2 2" xfId="1933" xr:uid="{00000000-0005-0000-0000-00008D070000}"/>
    <cellStyle name="60% - Accent4 2 2 3" xfId="1934" xr:uid="{00000000-0005-0000-0000-00008E070000}"/>
    <cellStyle name="60% - Accent4 2 2 3 2" xfId="1935" xr:uid="{00000000-0005-0000-0000-00008F070000}"/>
    <cellStyle name="60% - Accent4 2 2 3 2 2" xfId="1936" xr:uid="{00000000-0005-0000-0000-000090070000}"/>
    <cellStyle name="60% - Accent4 2 2 3 3" xfId="1937" xr:uid="{00000000-0005-0000-0000-000091070000}"/>
    <cellStyle name="60% - Accent4 2 2 4" xfId="1938" xr:uid="{00000000-0005-0000-0000-000092070000}"/>
    <cellStyle name="60% - Accent4 2 3" xfId="1939" xr:uid="{00000000-0005-0000-0000-000093070000}"/>
    <cellStyle name="60% - Accent4 2 3 2" xfId="1940" xr:uid="{00000000-0005-0000-0000-000094070000}"/>
    <cellStyle name="60% - Accent4 2 3 2 2" xfId="1941" xr:uid="{00000000-0005-0000-0000-000095070000}"/>
    <cellStyle name="60% - Accent4 2 3 3" xfId="1942" xr:uid="{00000000-0005-0000-0000-000096070000}"/>
    <cellStyle name="60% - Accent4 2 3 3 2" xfId="1943" xr:uid="{00000000-0005-0000-0000-000097070000}"/>
    <cellStyle name="60% - Accent4 2 3 3 2 2" xfId="1944" xr:uid="{00000000-0005-0000-0000-000098070000}"/>
    <cellStyle name="60% - Accent4 2 3 3 3" xfId="1945" xr:uid="{00000000-0005-0000-0000-000099070000}"/>
    <cellStyle name="60% - Accent4 2 3 4" xfId="1946" xr:uid="{00000000-0005-0000-0000-00009A070000}"/>
    <cellStyle name="60% - Accent4 2 4" xfId="1947" xr:uid="{00000000-0005-0000-0000-00009B070000}"/>
    <cellStyle name="60% - Accent4 2 4 2" xfId="1948" xr:uid="{00000000-0005-0000-0000-00009C070000}"/>
    <cellStyle name="60% - Accent4 2 4 2 2" xfId="1949" xr:uid="{00000000-0005-0000-0000-00009D070000}"/>
    <cellStyle name="60% - Accent4 2 4 3" xfId="1950" xr:uid="{00000000-0005-0000-0000-00009E070000}"/>
    <cellStyle name="60% - Accent4 2 5" xfId="1951" xr:uid="{00000000-0005-0000-0000-00009F070000}"/>
    <cellStyle name="60% - Accent4 2 5 2" xfId="1952" xr:uid="{00000000-0005-0000-0000-0000A0070000}"/>
    <cellStyle name="60% - Accent4 2 5 2 2" xfId="1953" xr:uid="{00000000-0005-0000-0000-0000A1070000}"/>
    <cellStyle name="60% - Accent4 2 5 3" xfId="1954" xr:uid="{00000000-0005-0000-0000-0000A2070000}"/>
    <cellStyle name="60% - Accent4 2 5 3 2" xfId="1955" xr:uid="{00000000-0005-0000-0000-0000A3070000}"/>
    <cellStyle name="60% - Accent4 2 5 3 2 2" xfId="1956" xr:uid="{00000000-0005-0000-0000-0000A4070000}"/>
    <cellStyle name="60% - Accent4 2 5 3 3" xfId="1957" xr:uid="{00000000-0005-0000-0000-0000A5070000}"/>
    <cellStyle name="60% - Accent4 2 5 4" xfId="1958" xr:uid="{00000000-0005-0000-0000-0000A6070000}"/>
    <cellStyle name="60% - Accent4 2 6" xfId="1959" xr:uid="{00000000-0005-0000-0000-0000A7070000}"/>
    <cellStyle name="60% - Accent4 2 6 2" xfId="1960" xr:uid="{00000000-0005-0000-0000-0000A8070000}"/>
    <cellStyle name="60% - Accent4 2 7" xfId="1961" xr:uid="{00000000-0005-0000-0000-0000A9070000}"/>
    <cellStyle name="60% - Accent4 2 7 2" xfId="1962" xr:uid="{00000000-0005-0000-0000-0000AA070000}"/>
    <cellStyle name="60% - Accent4 2 8" xfId="1963" xr:uid="{00000000-0005-0000-0000-0000AB070000}"/>
    <cellStyle name="60% - Accent4 2 8 2" xfId="1964" xr:uid="{00000000-0005-0000-0000-0000AC070000}"/>
    <cellStyle name="60% - Accent4 2 8 2 2" xfId="1965" xr:uid="{00000000-0005-0000-0000-0000AD070000}"/>
    <cellStyle name="60% - Accent4 2 8 3" xfId="1966" xr:uid="{00000000-0005-0000-0000-0000AE070000}"/>
    <cellStyle name="60% - Accent4 2 9" xfId="1967" xr:uid="{00000000-0005-0000-0000-0000AF070000}"/>
    <cellStyle name="60% - Accent4 2 9 2" xfId="1968" xr:uid="{00000000-0005-0000-0000-0000B0070000}"/>
    <cellStyle name="60% - Accent4 2 9 2 2" xfId="1969" xr:uid="{00000000-0005-0000-0000-0000B1070000}"/>
    <cellStyle name="60% - Accent4 2 9 3" xfId="1970" xr:uid="{00000000-0005-0000-0000-0000B2070000}"/>
    <cellStyle name="60% - Accent4 3" xfId="1971" xr:uid="{00000000-0005-0000-0000-0000B3070000}"/>
    <cellStyle name="60% - Accent4 3 2" xfId="1972" xr:uid="{00000000-0005-0000-0000-0000B4070000}"/>
    <cellStyle name="60% - Accent4 3 2 2" xfId="1973" xr:uid="{00000000-0005-0000-0000-0000B5070000}"/>
    <cellStyle name="60% - Accent4 3 3" xfId="1974" xr:uid="{00000000-0005-0000-0000-0000B6070000}"/>
    <cellStyle name="60% - Accent4 3 3 2" xfId="1975" xr:uid="{00000000-0005-0000-0000-0000B7070000}"/>
    <cellStyle name="60% - Accent4 3 4" xfId="1976" xr:uid="{00000000-0005-0000-0000-0000B8070000}"/>
    <cellStyle name="60% - Accent4 3 4 2" xfId="1977" xr:uid="{00000000-0005-0000-0000-0000B9070000}"/>
    <cellStyle name="60% - Accent4 3 4 2 2" xfId="1978" xr:uid="{00000000-0005-0000-0000-0000BA070000}"/>
    <cellStyle name="60% - Accent4 3 4 3" xfId="1979" xr:uid="{00000000-0005-0000-0000-0000BB070000}"/>
    <cellStyle name="60% - Accent4 3 5" xfId="1980" xr:uid="{00000000-0005-0000-0000-0000BC070000}"/>
    <cellStyle name="60% - Accent4 4" xfId="1981" xr:uid="{00000000-0005-0000-0000-0000BD070000}"/>
    <cellStyle name="60% - Accent4 4 2" xfId="1982" xr:uid="{00000000-0005-0000-0000-0000BE070000}"/>
    <cellStyle name="60% - Accent4 4 2 2" xfId="1983" xr:uid="{00000000-0005-0000-0000-0000BF070000}"/>
    <cellStyle name="60% - Accent4 4 3" xfId="1984" xr:uid="{00000000-0005-0000-0000-0000C0070000}"/>
    <cellStyle name="60% - Accent4 4 3 2" xfId="1985" xr:uid="{00000000-0005-0000-0000-0000C1070000}"/>
    <cellStyle name="60% - Accent4 4 3 2 2" xfId="1986" xr:uid="{00000000-0005-0000-0000-0000C2070000}"/>
    <cellStyle name="60% - Accent4 4 3 3" xfId="1987" xr:uid="{00000000-0005-0000-0000-0000C3070000}"/>
    <cellStyle name="60% - Accent4 4 4" xfId="1988" xr:uid="{00000000-0005-0000-0000-0000C4070000}"/>
    <cellStyle name="60% - Accent4 5" xfId="1989" xr:uid="{00000000-0005-0000-0000-0000C5070000}"/>
    <cellStyle name="60% - Accent4 5 2" xfId="1990" xr:uid="{00000000-0005-0000-0000-0000C6070000}"/>
    <cellStyle name="60% - Accent4 5 2 2" xfId="1991" xr:uid="{00000000-0005-0000-0000-0000C7070000}"/>
    <cellStyle name="60% - Accent4 5 3" xfId="1992" xr:uid="{00000000-0005-0000-0000-0000C8070000}"/>
    <cellStyle name="60% - Accent4 5 3 2" xfId="1993" xr:uid="{00000000-0005-0000-0000-0000C9070000}"/>
    <cellStyle name="60% - Accent4 5 3 2 2" xfId="1994" xr:uid="{00000000-0005-0000-0000-0000CA070000}"/>
    <cellStyle name="60% - Accent4 5 3 3" xfId="1995" xr:uid="{00000000-0005-0000-0000-0000CB070000}"/>
    <cellStyle name="60% - Accent4 5 4" xfId="1996" xr:uid="{00000000-0005-0000-0000-0000CC070000}"/>
    <cellStyle name="60% - Accent4 6" xfId="1997" xr:uid="{00000000-0005-0000-0000-0000CD070000}"/>
    <cellStyle name="60% - Accent4 6 2" xfId="1998" xr:uid="{00000000-0005-0000-0000-0000CE070000}"/>
    <cellStyle name="60% - Accent4 6 2 2" xfId="1999" xr:uid="{00000000-0005-0000-0000-0000CF070000}"/>
    <cellStyle name="60% - Accent4 6 3" xfId="2000" xr:uid="{00000000-0005-0000-0000-0000D0070000}"/>
    <cellStyle name="60% - Accent4 7" xfId="2001" xr:uid="{00000000-0005-0000-0000-0000D1070000}"/>
    <cellStyle name="60% - Accent4 8" xfId="2002" xr:uid="{00000000-0005-0000-0000-0000D2070000}"/>
    <cellStyle name="60% - Accent5 2" xfId="2003" xr:uid="{00000000-0005-0000-0000-0000D3070000}"/>
    <cellStyle name="60% - Accent5 2 10" xfId="2004" xr:uid="{00000000-0005-0000-0000-0000D4070000}"/>
    <cellStyle name="60% - Accent5 2 2" xfId="2005" xr:uid="{00000000-0005-0000-0000-0000D5070000}"/>
    <cellStyle name="60% - Accent5 2 2 2" xfId="2006" xr:uid="{00000000-0005-0000-0000-0000D6070000}"/>
    <cellStyle name="60% - Accent5 2 2 2 2" xfId="2007" xr:uid="{00000000-0005-0000-0000-0000D7070000}"/>
    <cellStyle name="60% - Accent5 2 2 3" xfId="2008" xr:uid="{00000000-0005-0000-0000-0000D8070000}"/>
    <cellStyle name="60% - Accent5 2 2 3 2" xfId="2009" xr:uid="{00000000-0005-0000-0000-0000D9070000}"/>
    <cellStyle name="60% - Accent5 2 2 3 2 2" xfId="2010" xr:uid="{00000000-0005-0000-0000-0000DA070000}"/>
    <cellStyle name="60% - Accent5 2 2 3 3" xfId="2011" xr:uid="{00000000-0005-0000-0000-0000DB070000}"/>
    <cellStyle name="60% - Accent5 2 2 4" xfId="2012" xr:uid="{00000000-0005-0000-0000-0000DC070000}"/>
    <cellStyle name="60% - Accent5 2 3" xfId="2013" xr:uid="{00000000-0005-0000-0000-0000DD070000}"/>
    <cellStyle name="60% - Accent5 2 3 2" xfId="2014" xr:uid="{00000000-0005-0000-0000-0000DE070000}"/>
    <cellStyle name="60% - Accent5 2 3 2 2" xfId="2015" xr:uid="{00000000-0005-0000-0000-0000DF070000}"/>
    <cellStyle name="60% - Accent5 2 3 3" xfId="2016" xr:uid="{00000000-0005-0000-0000-0000E0070000}"/>
    <cellStyle name="60% - Accent5 2 3 3 2" xfId="2017" xr:uid="{00000000-0005-0000-0000-0000E1070000}"/>
    <cellStyle name="60% - Accent5 2 3 3 2 2" xfId="2018" xr:uid="{00000000-0005-0000-0000-0000E2070000}"/>
    <cellStyle name="60% - Accent5 2 3 3 3" xfId="2019" xr:uid="{00000000-0005-0000-0000-0000E3070000}"/>
    <cellStyle name="60% - Accent5 2 3 4" xfId="2020" xr:uid="{00000000-0005-0000-0000-0000E4070000}"/>
    <cellStyle name="60% - Accent5 2 4" xfId="2021" xr:uid="{00000000-0005-0000-0000-0000E5070000}"/>
    <cellStyle name="60% - Accent5 2 4 2" xfId="2022" xr:uid="{00000000-0005-0000-0000-0000E6070000}"/>
    <cellStyle name="60% - Accent5 2 4 2 2" xfId="2023" xr:uid="{00000000-0005-0000-0000-0000E7070000}"/>
    <cellStyle name="60% - Accent5 2 4 3" xfId="2024" xr:uid="{00000000-0005-0000-0000-0000E8070000}"/>
    <cellStyle name="60% - Accent5 2 5" xfId="2025" xr:uid="{00000000-0005-0000-0000-0000E9070000}"/>
    <cellStyle name="60% - Accent5 2 5 2" xfId="2026" xr:uid="{00000000-0005-0000-0000-0000EA070000}"/>
    <cellStyle name="60% - Accent5 2 5 2 2" xfId="2027" xr:uid="{00000000-0005-0000-0000-0000EB070000}"/>
    <cellStyle name="60% - Accent5 2 5 3" xfId="2028" xr:uid="{00000000-0005-0000-0000-0000EC070000}"/>
    <cellStyle name="60% - Accent5 2 5 3 2" xfId="2029" xr:uid="{00000000-0005-0000-0000-0000ED070000}"/>
    <cellStyle name="60% - Accent5 2 5 3 2 2" xfId="2030" xr:uid="{00000000-0005-0000-0000-0000EE070000}"/>
    <cellStyle name="60% - Accent5 2 5 3 3" xfId="2031" xr:uid="{00000000-0005-0000-0000-0000EF070000}"/>
    <cellStyle name="60% - Accent5 2 5 4" xfId="2032" xr:uid="{00000000-0005-0000-0000-0000F0070000}"/>
    <cellStyle name="60% - Accent5 2 6" xfId="2033" xr:uid="{00000000-0005-0000-0000-0000F1070000}"/>
    <cellStyle name="60% - Accent5 2 6 2" xfId="2034" xr:uid="{00000000-0005-0000-0000-0000F2070000}"/>
    <cellStyle name="60% - Accent5 2 7" xfId="2035" xr:uid="{00000000-0005-0000-0000-0000F3070000}"/>
    <cellStyle name="60% - Accent5 2 7 2" xfId="2036" xr:uid="{00000000-0005-0000-0000-0000F4070000}"/>
    <cellStyle name="60% - Accent5 2 8" xfId="2037" xr:uid="{00000000-0005-0000-0000-0000F5070000}"/>
    <cellStyle name="60% - Accent5 2 8 2" xfId="2038" xr:uid="{00000000-0005-0000-0000-0000F6070000}"/>
    <cellStyle name="60% - Accent5 2 8 2 2" xfId="2039" xr:uid="{00000000-0005-0000-0000-0000F7070000}"/>
    <cellStyle name="60% - Accent5 2 8 3" xfId="2040" xr:uid="{00000000-0005-0000-0000-0000F8070000}"/>
    <cellStyle name="60% - Accent5 2 9" xfId="2041" xr:uid="{00000000-0005-0000-0000-0000F9070000}"/>
    <cellStyle name="60% - Accent5 2 9 2" xfId="2042" xr:uid="{00000000-0005-0000-0000-0000FA070000}"/>
    <cellStyle name="60% - Accent5 2 9 2 2" xfId="2043" xr:uid="{00000000-0005-0000-0000-0000FB070000}"/>
    <cellStyle name="60% - Accent5 2 9 3" xfId="2044" xr:uid="{00000000-0005-0000-0000-0000FC070000}"/>
    <cellStyle name="60% - Accent5 3" xfId="2045" xr:uid="{00000000-0005-0000-0000-0000FD070000}"/>
    <cellStyle name="60% - Accent5 3 2" xfId="2046" xr:uid="{00000000-0005-0000-0000-0000FE070000}"/>
    <cellStyle name="60% - Accent5 3 2 2" xfId="2047" xr:uid="{00000000-0005-0000-0000-0000FF070000}"/>
    <cellStyle name="60% - Accent5 3 3" xfId="2048" xr:uid="{00000000-0005-0000-0000-000000080000}"/>
    <cellStyle name="60% - Accent5 3 3 2" xfId="2049" xr:uid="{00000000-0005-0000-0000-000001080000}"/>
    <cellStyle name="60% - Accent5 3 4" xfId="2050" xr:uid="{00000000-0005-0000-0000-000002080000}"/>
    <cellStyle name="60% - Accent5 3 4 2" xfId="2051" xr:uid="{00000000-0005-0000-0000-000003080000}"/>
    <cellStyle name="60% - Accent5 3 4 2 2" xfId="2052" xr:uid="{00000000-0005-0000-0000-000004080000}"/>
    <cellStyle name="60% - Accent5 3 4 3" xfId="2053" xr:uid="{00000000-0005-0000-0000-000005080000}"/>
    <cellStyle name="60% - Accent5 3 5" xfId="2054" xr:uid="{00000000-0005-0000-0000-000006080000}"/>
    <cellStyle name="60% - Accent5 4" xfId="2055" xr:uid="{00000000-0005-0000-0000-000007080000}"/>
    <cellStyle name="60% - Accent5 4 2" xfId="2056" xr:uid="{00000000-0005-0000-0000-000008080000}"/>
    <cellStyle name="60% - Accent5 4 2 2" xfId="2057" xr:uid="{00000000-0005-0000-0000-000009080000}"/>
    <cellStyle name="60% - Accent5 4 3" xfId="2058" xr:uid="{00000000-0005-0000-0000-00000A080000}"/>
    <cellStyle name="60% - Accent5 4 3 2" xfId="2059" xr:uid="{00000000-0005-0000-0000-00000B080000}"/>
    <cellStyle name="60% - Accent5 4 3 2 2" xfId="2060" xr:uid="{00000000-0005-0000-0000-00000C080000}"/>
    <cellStyle name="60% - Accent5 4 3 3" xfId="2061" xr:uid="{00000000-0005-0000-0000-00000D080000}"/>
    <cellStyle name="60% - Accent5 4 4" xfId="2062" xr:uid="{00000000-0005-0000-0000-00000E080000}"/>
    <cellStyle name="60% - Accent5 5" xfId="2063" xr:uid="{00000000-0005-0000-0000-00000F080000}"/>
    <cellStyle name="60% - Accent5 5 2" xfId="2064" xr:uid="{00000000-0005-0000-0000-000010080000}"/>
    <cellStyle name="60% - Accent5 5 2 2" xfId="2065" xr:uid="{00000000-0005-0000-0000-000011080000}"/>
    <cellStyle name="60% - Accent5 5 3" xfId="2066" xr:uid="{00000000-0005-0000-0000-000012080000}"/>
    <cellStyle name="60% - Accent5 5 3 2" xfId="2067" xr:uid="{00000000-0005-0000-0000-000013080000}"/>
    <cellStyle name="60% - Accent5 5 3 2 2" xfId="2068" xr:uid="{00000000-0005-0000-0000-000014080000}"/>
    <cellStyle name="60% - Accent5 5 3 3" xfId="2069" xr:uid="{00000000-0005-0000-0000-000015080000}"/>
    <cellStyle name="60% - Accent5 5 4" xfId="2070" xr:uid="{00000000-0005-0000-0000-000016080000}"/>
    <cellStyle name="60% - Accent5 6" xfId="2071" xr:uid="{00000000-0005-0000-0000-000017080000}"/>
    <cellStyle name="60% - Accent5 6 2" xfId="2072" xr:uid="{00000000-0005-0000-0000-000018080000}"/>
    <cellStyle name="60% - Accent5 6 2 2" xfId="2073" xr:uid="{00000000-0005-0000-0000-000019080000}"/>
    <cellStyle name="60% - Accent5 6 3" xfId="2074" xr:uid="{00000000-0005-0000-0000-00001A080000}"/>
    <cellStyle name="60% - Accent5 7" xfId="2075" xr:uid="{00000000-0005-0000-0000-00001B080000}"/>
    <cellStyle name="60% - Accent5 8" xfId="2076" xr:uid="{00000000-0005-0000-0000-00001C080000}"/>
    <cellStyle name="60% - Accent6 2" xfId="2077" xr:uid="{00000000-0005-0000-0000-00001D080000}"/>
    <cellStyle name="60% - Accent6 2 10" xfId="2078" xr:uid="{00000000-0005-0000-0000-00001E080000}"/>
    <cellStyle name="60% - Accent6 2 2" xfId="2079" xr:uid="{00000000-0005-0000-0000-00001F080000}"/>
    <cellStyle name="60% - Accent6 2 2 2" xfId="2080" xr:uid="{00000000-0005-0000-0000-000020080000}"/>
    <cellStyle name="60% - Accent6 2 2 2 2" xfId="2081" xr:uid="{00000000-0005-0000-0000-000021080000}"/>
    <cellStyle name="60% - Accent6 2 2 3" xfId="2082" xr:uid="{00000000-0005-0000-0000-000022080000}"/>
    <cellStyle name="60% - Accent6 2 2 3 2" xfId="2083" xr:uid="{00000000-0005-0000-0000-000023080000}"/>
    <cellStyle name="60% - Accent6 2 2 3 2 2" xfId="2084" xr:uid="{00000000-0005-0000-0000-000024080000}"/>
    <cellStyle name="60% - Accent6 2 2 3 3" xfId="2085" xr:uid="{00000000-0005-0000-0000-000025080000}"/>
    <cellStyle name="60% - Accent6 2 2 4" xfId="2086" xr:uid="{00000000-0005-0000-0000-000026080000}"/>
    <cellStyle name="60% - Accent6 2 3" xfId="2087" xr:uid="{00000000-0005-0000-0000-000027080000}"/>
    <cellStyle name="60% - Accent6 2 3 2" xfId="2088" xr:uid="{00000000-0005-0000-0000-000028080000}"/>
    <cellStyle name="60% - Accent6 2 3 2 2" xfId="2089" xr:uid="{00000000-0005-0000-0000-000029080000}"/>
    <cellStyle name="60% - Accent6 2 3 3" xfId="2090" xr:uid="{00000000-0005-0000-0000-00002A080000}"/>
    <cellStyle name="60% - Accent6 2 3 3 2" xfId="2091" xr:uid="{00000000-0005-0000-0000-00002B080000}"/>
    <cellStyle name="60% - Accent6 2 3 3 2 2" xfId="2092" xr:uid="{00000000-0005-0000-0000-00002C080000}"/>
    <cellStyle name="60% - Accent6 2 3 3 3" xfId="2093" xr:uid="{00000000-0005-0000-0000-00002D080000}"/>
    <cellStyle name="60% - Accent6 2 3 4" xfId="2094" xr:uid="{00000000-0005-0000-0000-00002E080000}"/>
    <cellStyle name="60% - Accent6 2 4" xfId="2095" xr:uid="{00000000-0005-0000-0000-00002F080000}"/>
    <cellStyle name="60% - Accent6 2 4 2" xfId="2096" xr:uid="{00000000-0005-0000-0000-000030080000}"/>
    <cellStyle name="60% - Accent6 2 4 2 2" xfId="2097" xr:uid="{00000000-0005-0000-0000-000031080000}"/>
    <cellStyle name="60% - Accent6 2 4 3" xfId="2098" xr:uid="{00000000-0005-0000-0000-000032080000}"/>
    <cellStyle name="60% - Accent6 2 5" xfId="2099" xr:uid="{00000000-0005-0000-0000-000033080000}"/>
    <cellStyle name="60% - Accent6 2 5 2" xfId="2100" xr:uid="{00000000-0005-0000-0000-000034080000}"/>
    <cellStyle name="60% - Accent6 2 5 2 2" xfId="2101" xr:uid="{00000000-0005-0000-0000-000035080000}"/>
    <cellStyle name="60% - Accent6 2 5 3" xfId="2102" xr:uid="{00000000-0005-0000-0000-000036080000}"/>
    <cellStyle name="60% - Accent6 2 5 3 2" xfId="2103" xr:uid="{00000000-0005-0000-0000-000037080000}"/>
    <cellStyle name="60% - Accent6 2 5 3 2 2" xfId="2104" xr:uid="{00000000-0005-0000-0000-000038080000}"/>
    <cellStyle name="60% - Accent6 2 5 3 3" xfId="2105" xr:uid="{00000000-0005-0000-0000-000039080000}"/>
    <cellStyle name="60% - Accent6 2 5 4" xfId="2106" xr:uid="{00000000-0005-0000-0000-00003A080000}"/>
    <cellStyle name="60% - Accent6 2 6" xfId="2107" xr:uid="{00000000-0005-0000-0000-00003B080000}"/>
    <cellStyle name="60% - Accent6 2 6 2" xfId="2108" xr:uid="{00000000-0005-0000-0000-00003C080000}"/>
    <cellStyle name="60% - Accent6 2 7" xfId="2109" xr:uid="{00000000-0005-0000-0000-00003D080000}"/>
    <cellStyle name="60% - Accent6 2 7 2" xfId="2110" xr:uid="{00000000-0005-0000-0000-00003E080000}"/>
    <cellStyle name="60% - Accent6 2 8" xfId="2111" xr:uid="{00000000-0005-0000-0000-00003F080000}"/>
    <cellStyle name="60% - Accent6 2 8 2" xfId="2112" xr:uid="{00000000-0005-0000-0000-000040080000}"/>
    <cellStyle name="60% - Accent6 2 8 2 2" xfId="2113" xr:uid="{00000000-0005-0000-0000-000041080000}"/>
    <cellStyle name="60% - Accent6 2 8 3" xfId="2114" xr:uid="{00000000-0005-0000-0000-000042080000}"/>
    <cellStyle name="60% - Accent6 2 9" xfId="2115" xr:uid="{00000000-0005-0000-0000-000043080000}"/>
    <cellStyle name="60% - Accent6 2 9 2" xfId="2116" xr:uid="{00000000-0005-0000-0000-000044080000}"/>
    <cellStyle name="60% - Accent6 2 9 2 2" xfId="2117" xr:uid="{00000000-0005-0000-0000-000045080000}"/>
    <cellStyle name="60% - Accent6 2 9 3" xfId="2118" xr:uid="{00000000-0005-0000-0000-000046080000}"/>
    <cellStyle name="60% - Accent6 3" xfId="2119" xr:uid="{00000000-0005-0000-0000-000047080000}"/>
    <cellStyle name="60% - Accent6 3 2" xfId="2120" xr:uid="{00000000-0005-0000-0000-000048080000}"/>
    <cellStyle name="60% - Accent6 3 2 2" xfId="2121" xr:uid="{00000000-0005-0000-0000-000049080000}"/>
    <cellStyle name="60% - Accent6 3 3" xfId="2122" xr:uid="{00000000-0005-0000-0000-00004A080000}"/>
    <cellStyle name="60% - Accent6 3 3 2" xfId="2123" xr:uid="{00000000-0005-0000-0000-00004B080000}"/>
    <cellStyle name="60% - Accent6 3 4" xfId="2124" xr:uid="{00000000-0005-0000-0000-00004C080000}"/>
    <cellStyle name="60% - Accent6 3 4 2" xfId="2125" xr:uid="{00000000-0005-0000-0000-00004D080000}"/>
    <cellStyle name="60% - Accent6 3 4 2 2" xfId="2126" xr:uid="{00000000-0005-0000-0000-00004E080000}"/>
    <cellStyle name="60% - Accent6 3 4 3" xfId="2127" xr:uid="{00000000-0005-0000-0000-00004F080000}"/>
    <cellStyle name="60% - Accent6 3 5" xfId="2128" xr:uid="{00000000-0005-0000-0000-000050080000}"/>
    <cellStyle name="60% - Accent6 4" xfId="2129" xr:uid="{00000000-0005-0000-0000-000051080000}"/>
    <cellStyle name="60% - Accent6 4 2" xfId="2130" xr:uid="{00000000-0005-0000-0000-000052080000}"/>
    <cellStyle name="60% - Accent6 4 2 2" xfId="2131" xr:uid="{00000000-0005-0000-0000-000053080000}"/>
    <cellStyle name="60% - Accent6 4 3" xfId="2132" xr:uid="{00000000-0005-0000-0000-000054080000}"/>
    <cellStyle name="60% - Accent6 4 3 2" xfId="2133" xr:uid="{00000000-0005-0000-0000-000055080000}"/>
    <cellStyle name="60% - Accent6 4 3 2 2" xfId="2134" xr:uid="{00000000-0005-0000-0000-000056080000}"/>
    <cellStyle name="60% - Accent6 4 3 3" xfId="2135" xr:uid="{00000000-0005-0000-0000-000057080000}"/>
    <cellStyle name="60% - Accent6 4 4" xfId="2136" xr:uid="{00000000-0005-0000-0000-000058080000}"/>
    <cellStyle name="60% - Accent6 5" xfId="2137" xr:uid="{00000000-0005-0000-0000-000059080000}"/>
    <cellStyle name="60% - Accent6 5 2" xfId="2138" xr:uid="{00000000-0005-0000-0000-00005A080000}"/>
    <cellStyle name="60% - Accent6 5 2 2" xfId="2139" xr:uid="{00000000-0005-0000-0000-00005B080000}"/>
    <cellStyle name="60% - Accent6 5 3" xfId="2140" xr:uid="{00000000-0005-0000-0000-00005C080000}"/>
    <cellStyle name="60% - Accent6 5 3 2" xfId="2141" xr:uid="{00000000-0005-0000-0000-00005D080000}"/>
    <cellStyle name="60% - Accent6 5 3 2 2" xfId="2142" xr:uid="{00000000-0005-0000-0000-00005E080000}"/>
    <cellStyle name="60% - Accent6 5 3 3" xfId="2143" xr:uid="{00000000-0005-0000-0000-00005F080000}"/>
    <cellStyle name="60% - Accent6 5 4" xfId="2144" xr:uid="{00000000-0005-0000-0000-000060080000}"/>
    <cellStyle name="60% - Accent6 6" xfId="2145" xr:uid="{00000000-0005-0000-0000-000061080000}"/>
    <cellStyle name="60% - Accent6 6 2" xfId="2146" xr:uid="{00000000-0005-0000-0000-000062080000}"/>
    <cellStyle name="60% - Accent6 6 2 2" xfId="2147" xr:uid="{00000000-0005-0000-0000-000063080000}"/>
    <cellStyle name="60% - Accent6 6 3" xfId="2148" xr:uid="{00000000-0005-0000-0000-000064080000}"/>
    <cellStyle name="60% - Accent6 7" xfId="2149" xr:uid="{00000000-0005-0000-0000-000065080000}"/>
    <cellStyle name="60% - Accent6 8" xfId="2150" xr:uid="{00000000-0005-0000-0000-000066080000}"/>
    <cellStyle name="Accent1 - 20%" xfId="2151" xr:uid="{00000000-0005-0000-0000-000067080000}"/>
    <cellStyle name="Accent1 - 20% 10" xfId="2152" xr:uid="{00000000-0005-0000-0000-000068080000}"/>
    <cellStyle name="Accent1 - 20% 11" xfId="2153" xr:uid="{00000000-0005-0000-0000-000069080000}"/>
    <cellStyle name="Accent1 - 20% 2" xfId="2154" xr:uid="{00000000-0005-0000-0000-00006A080000}"/>
    <cellStyle name="Accent1 - 20% 2 2" xfId="2155" xr:uid="{00000000-0005-0000-0000-00006B080000}"/>
    <cellStyle name="Accent1 - 20% 2 2 2" xfId="2156" xr:uid="{00000000-0005-0000-0000-00006C080000}"/>
    <cellStyle name="Accent1 - 20% 2 2 2 2" xfId="2157" xr:uid="{00000000-0005-0000-0000-00006D080000}"/>
    <cellStyle name="Accent1 - 20% 2 2 3" xfId="2158" xr:uid="{00000000-0005-0000-0000-00006E080000}"/>
    <cellStyle name="Accent1 - 20% 2 3" xfId="2159" xr:uid="{00000000-0005-0000-0000-00006F080000}"/>
    <cellStyle name="Accent1 - 20% 2 3 2" xfId="2160" xr:uid="{00000000-0005-0000-0000-000070080000}"/>
    <cellStyle name="Accent1 - 20% 2 3 2 2" xfId="2161" xr:uid="{00000000-0005-0000-0000-000071080000}"/>
    <cellStyle name="Accent1 - 20% 2 3 2 2 2" xfId="2162" xr:uid="{00000000-0005-0000-0000-000072080000}"/>
    <cellStyle name="Accent1 - 20% 2 3 2 3" xfId="2163" xr:uid="{00000000-0005-0000-0000-000073080000}"/>
    <cellStyle name="Accent1 - 20% 2 3 3" xfId="2164" xr:uid="{00000000-0005-0000-0000-000074080000}"/>
    <cellStyle name="Accent1 - 20% 2 3 3 2" xfId="2165" xr:uid="{00000000-0005-0000-0000-000075080000}"/>
    <cellStyle name="Accent1 - 20% 2 3 4" xfId="2166" xr:uid="{00000000-0005-0000-0000-000076080000}"/>
    <cellStyle name="Accent1 - 20% 2 4" xfId="2167" xr:uid="{00000000-0005-0000-0000-000077080000}"/>
    <cellStyle name="Accent1 - 20% 2 4 2" xfId="2168" xr:uid="{00000000-0005-0000-0000-000078080000}"/>
    <cellStyle name="Accent1 - 20% 2 4 2 2" xfId="2169" xr:uid="{00000000-0005-0000-0000-000079080000}"/>
    <cellStyle name="Accent1 - 20% 2 4 2 2 2" xfId="2170" xr:uid="{00000000-0005-0000-0000-00007A080000}"/>
    <cellStyle name="Accent1 - 20% 2 4 2 3" xfId="2171" xr:uid="{00000000-0005-0000-0000-00007B080000}"/>
    <cellStyle name="Accent1 - 20% 2 4 3" xfId="2172" xr:uid="{00000000-0005-0000-0000-00007C080000}"/>
    <cellStyle name="Accent1 - 20% 2 4 3 2" xfId="2173" xr:uid="{00000000-0005-0000-0000-00007D080000}"/>
    <cellStyle name="Accent1 - 20% 2 4 4" xfId="2174" xr:uid="{00000000-0005-0000-0000-00007E080000}"/>
    <cellStyle name="Accent1 - 20% 2 5" xfId="2175" xr:uid="{00000000-0005-0000-0000-00007F080000}"/>
    <cellStyle name="Accent1 - 20% 2 5 2" xfId="2176" xr:uid="{00000000-0005-0000-0000-000080080000}"/>
    <cellStyle name="Accent1 - 20% 2 6" xfId="2177" xr:uid="{00000000-0005-0000-0000-000081080000}"/>
    <cellStyle name="Accent1 - 20% 2 6 2" xfId="2178" xr:uid="{00000000-0005-0000-0000-000082080000}"/>
    <cellStyle name="Accent1 - 20% 2 7" xfId="2179" xr:uid="{00000000-0005-0000-0000-000083080000}"/>
    <cellStyle name="Accent1 - 20% 3" xfId="2180" xr:uid="{00000000-0005-0000-0000-000084080000}"/>
    <cellStyle name="Accent1 - 20% 3 2" xfId="2181" xr:uid="{00000000-0005-0000-0000-000085080000}"/>
    <cellStyle name="Accent1 - 20% 3 2 2" xfId="2182" xr:uid="{00000000-0005-0000-0000-000086080000}"/>
    <cellStyle name="Accent1 - 20% 3 2 2 2" xfId="2183" xr:uid="{00000000-0005-0000-0000-000087080000}"/>
    <cellStyle name="Accent1 - 20% 3 2 3" xfId="2184" xr:uid="{00000000-0005-0000-0000-000088080000}"/>
    <cellStyle name="Accent1 - 20% 3 3" xfId="2185" xr:uid="{00000000-0005-0000-0000-000089080000}"/>
    <cellStyle name="Accent1 - 20% 3 3 2" xfId="2186" xr:uid="{00000000-0005-0000-0000-00008A080000}"/>
    <cellStyle name="Accent1 - 20% 3 4" xfId="2187" xr:uid="{00000000-0005-0000-0000-00008B080000}"/>
    <cellStyle name="Accent1 - 20% 4" xfId="2188" xr:uid="{00000000-0005-0000-0000-00008C080000}"/>
    <cellStyle name="Accent1 - 20% 4 2" xfId="2189" xr:uid="{00000000-0005-0000-0000-00008D080000}"/>
    <cellStyle name="Accent1 - 20% 4 2 2" xfId="2190" xr:uid="{00000000-0005-0000-0000-00008E080000}"/>
    <cellStyle name="Accent1 - 20% 4 3" xfId="2191" xr:uid="{00000000-0005-0000-0000-00008F080000}"/>
    <cellStyle name="Accent1 - 20% 5" xfId="2192" xr:uid="{00000000-0005-0000-0000-000090080000}"/>
    <cellStyle name="Accent1 - 20% 5 2" xfId="2193" xr:uid="{00000000-0005-0000-0000-000091080000}"/>
    <cellStyle name="Accent1 - 20% 5 2 2" xfId="2194" xr:uid="{00000000-0005-0000-0000-000092080000}"/>
    <cellStyle name="Accent1 - 20% 5 3" xfId="2195" xr:uid="{00000000-0005-0000-0000-000093080000}"/>
    <cellStyle name="Accent1 - 20% 6" xfId="2196" xr:uid="{00000000-0005-0000-0000-000094080000}"/>
    <cellStyle name="Accent1 - 20% 6 2" xfId="2197" xr:uid="{00000000-0005-0000-0000-000095080000}"/>
    <cellStyle name="Accent1 - 20% 7" xfId="2198" xr:uid="{00000000-0005-0000-0000-000096080000}"/>
    <cellStyle name="Accent1 - 20% 7 2" xfId="2199" xr:uid="{00000000-0005-0000-0000-000097080000}"/>
    <cellStyle name="Accent1 - 20% 8" xfId="2200" xr:uid="{00000000-0005-0000-0000-000098080000}"/>
    <cellStyle name="Accent1 - 20% 8 2" xfId="2201" xr:uid="{00000000-0005-0000-0000-000099080000}"/>
    <cellStyle name="Accent1 - 20% 9" xfId="2202" xr:uid="{00000000-0005-0000-0000-00009A080000}"/>
    <cellStyle name="Accent1 - 20% 9 2" xfId="2203" xr:uid="{00000000-0005-0000-0000-00009B080000}"/>
    <cellStyle name="Accent1 - 40%" xfId="2204" xr:uid="{00000000-0005-0000-0000-00009C080000}"/>
    <cellStyle name="Accent1 - 40% 10" xfId="2205" xr:uid="{00000000-0005-0000-0000-00009D080000}"/>
    <cellStyle name="Accent1 - 40% 11" xfId="2206" xr:uid="{00000000-0005-0000-0000-00009E080000}"/>
    <cellStyle name="Accent1 - 40% 2" xfId="2207" xr:uid="{00000000-0005-0000-0000-00009F080000}"/>
    <cellStyle name="Accent1 - 40% 2 2" xfId="2208" xr:uid="{00000000-0005-0000-0000-0000A0080000}"/>
    <cellStyle name="Accent1 - 40% 2 2 2" xfId="2209" xr:uid="{00000000-0005-0000-0000-0000A1080000}"/>
    <cellStyle name="Accent1 - 40% 2 2 2 2" xfId="2210" xr:uid="{00000000-0005-0000-0000-0000A2080000}"/>
    <cellStyle name="Accent1 - 40% 2 2 3" xfId="2211" xr:uid="{00000000-0005-0000-0000-0000A3080000}"/>
    <cellStyle name="Accent1 - 40% 2 3" xfId="2212" xr:uid="{00000000-0005-0000-0000-0000A4080000}"/>
    <cellStyle name="Accent1 - 40% 2 3 2" xfId="2213" xr:uid="{00000000-0005-0000-0000-0000A5080000}"/>
    <cellStyle name="Accent1 - 40% 2 3 2 2" xfId="2214" xr:uid="{00000000-0005-0000-0000-0000A6080000}"/>
    <cellStyle name="Accent1 - 40% 2 3 2 2 2" xfId="2215" xr:uid="{00000000-0005-0000-0000-0000A7080000}"/>
    <cellStyle name="Accent1 - 40% 2 3 2 3" xfId="2216" xr:uid="{00000000-0005-0000-0000-0000A8080000}"/>
    <cellStyle name="Accent1 - 40% 2 3 3" xfId="2217" xr:uid="{00000000-0005-0000-0000-0000A9080000}"/>
    <cellStyle name="Accent1 - 40% 2 3 3 2" xfId="2218" xr:uid="{00000000-0005-0000-0000-0000AA080000}"/>
    <cellStyle name="Accent1 - 40% 2 3 4" xfId="2219" xr:uid="{00000000-0005-0000-0000-0000AB080000}"/>
    <cellStyle name="Accent1 - 40% 2 4" xfId="2220" xr:uid="{00000000-0005-0000-0000-0000AC080000}"/>
    <cellStyle name="Accent1 - 40% 2 4 2" xfId="2221" xr:uid="{00000000-0005-0000-0000-0000AD080000}"/>
    <cellStyle name="Accent1 - 40% 2 4 2 2" xfId="2222" xr:uid="{00000000-0005-0000-0000-0000AE080000}"/>
    <cellStyle name="Accent1 - 40% 2 4 2 2 2" xfId="2223" xr:uid="{00000000-0005-0000-0000-0000AF080000}"/>
    <cellStyle name="Accent1 - 40% 2 4 2 3" xfId="2224" xr:uid="{00000000-0005-0000-0000-0000B0080000}"/>
    <cellStyle name="Accent1 - 40% 2 4 3" xfId="2225" xr:uid="{00000000-0005-0000-0000-0000B1080000}"/>
    <cellStyle name="Accent1 - 40% 2 4 3 2" xfId="2226" xr:uid="{00000000-0005-0000-0000-0000B2080000}"/>
    <cellStyle name="Accent1 - 40% 2 4 4" xfId="2227" xr:uid="{00000000-0005-0000-0000-0000B3080000}"/>
    <cellStyle name="Accent1 - 40% 2 5" xfId="2228" xr:uid="{00000000-0005-0000-0000-0000B4080000}"/>
    <cellStyle name="Accent1 - 40% 2 5 2" xfId="2229" xr:uid="{00000000-0005-0000-0000-0000B5080000}"/>
    <cellStyle name="Accent1 - 40% 2 6" xfId="2230" xr:uid="{00000000-0005-0000-0000-0000B6080000}"/>
    <cellStyle name="Accent1 - 40% 2 6 2" xfId="2231" xr:uid="{00000000-0005-0000-0000-0000B7080000}"/>
    <cellStyle name="Accent1 - 40% 2 7" xfId="2232" xr:uid="{00000000-0005-0000-0000-0000B8080000}"/>
    <cellStyle name="Accent1 - 40% 3" xfId="2233" xr:uid="{00000000-0005-0000-0000-0000B9080000}"/>
    <cellStyle name="Accent1 - 40% 3 2" xfId="2234" xr:uid="{00000000-0005-0000-0000-0000BA080000}"/>
    <cellStyle name="Accent1 - 40% 3 2 2" xfId="2235" xr:uid="{00000000-0005-0000-0000-0000BB080000}"/>
    <cellStyle name="Accent1 - 40% 3 2 2 2" xfId="2236" xr:uid="{00000000-0005-0000-0000-0000BC080000}"/>
    <cellStyle name="Accent1 - 40% 3 2 3" xfId="2237" xr:uid="{00000000-0005-0000-0000-0000BD080000}"/>
    <cellStyle name="Accent1 - 40% 3 3" xfId="2238" xr:uid="{00000000-0005-0000-0000-0000BE080000}"/>
    <cellStyle name="Accent1 - 40% 3 3 2" xfId="2239" xr:uid="{00000000-0005-0000-0000-0000BF080000}"/>
    <cellStyle name="Accent1 - 40% 3 4" xfId="2240" xr:uid="{00000000-0005-0000-0000-0000C0080000}"/>
    <cellStyle name="Accent1 - 40% 4" xfId="2241" xr:uid="{00000000-0005-0000-0000-0000C1080000}"/>
    <cellStyle name="Accent1 - 40% 4 2" xfId="2242" xr:uid="{00000000-0005-0000-0000-0000C2080000}"/>
    <cellStyle name="Accent1 - 40% 4 2 2" xfId="2243" xr:uid="{00000000-0005-0000-0000-0000C3080000}"/>
    <cellStyle name="Accent1 - 40% 4 3" xfId="2244" xr:uid="{00000000-0005-0000-0000-0000C4080000}"/>
    <cellStyle name="Accent1 - 40% 5" xfId="2245" xr:uid="{00000000-0005-0000-0000-0000C5080000}"/>
    <cellStyle name="Accent1 - 40% 5 2" xfId="2246" xr:uid="{00000000-0005-0000-0000-0000C6080000}"/>
    <cellStyle name="Accent1 - 40% 5 2 2" xfId="2247" xr:uid="{00000000-0005-0000-0000-0000C7080000}"/>
    <cellStyle name="Accent1 - 40% 5 3" xfId="2248" xr:uid="{00000000-0005-0000-0000-0000C8080000}"/>
    <cellStyle name="Accent1 - 40% 6" xfId="2249" xr:uid="{00000000-0005-0000-0000-0000C9080000}"/>
    <cellStyle name="Accent1 - 40% 6 2" xfId="2250" xr:uid="{00000000-0005-0000-0000-0000CA080000}"/>
    <cellStyle name="Accent1 - 40% 7" xfId="2251" xr:uid="{00000000-0005-0000-0000-0000CB080000}"/>
    <cellStyle name="Accent1 - 40% 7 2" xfId="2252" xr:uid="{00000000-0005-0000-0000-0000CC080000}"/>
    <cellStyle name="Accent1 - 40% 8" xfId="2253" xr:uid="{00000000-0005-0000-0000-0000CD080000}"/>
    <cellStyle name="Accent1 - 40% 8 2" xfId="2254" xr:uid="{00000000-0005-0000-0000-0000CE080000}"/>
    <cellStyle name="Accent1 - 40% 9" xfId="2255" xr:uid="{00000000-0005-0000-0000-0000CF080000}"/>
    <cellStyle name="Accent1 - 40% 9 2" xfId="2256" xr:uid="{00000000-0005-0000-0000-0000D0080000}"/>
    <cellStyle name="Accent1 - 60%" xfId="2257" xr:uid="{00000000-0005-0000-0000-0000D1080000}"/>
    <cellStyle name="Accent1 - 60% 10" xfId="2258" xr:uid="{00000000-0005-0000-0000-0000D2080000}"/>
    <cellStyle name="Accent1 - 60% 2" xfId="2259" xr:uid="{00000000-0005-0000-0000-0000D3080000}"/>
    <cellStyle name="Accent1 - 60% 2 2" xfId="2260" xr:uid="{00000000-0005-0000-0000-0000D4080000}"/>
    <cellStyle name="Accent1 - 60% 2 2 2" xfId="2261" xr:uid="{00000000-0005-0000-0000-0000D5080000}"/>
    <cellStyle name="Accent1 - 60% 2 3" xfId="2262" xr:uid="{00000000-0005-0000-0000-0000D6080000}"/>
    <cellStyle name="Accent1 - 60% 2 3 2" xfId="2263" xr:uid="{00000000-0005-0000-0000-0000D7080000}"/>
    <cellStyle name="Accent1 - 60% 2 3 2 2" xfId="2264" xr:uid="{00000000-0005-0000-0000-0000D8080000}"/>
    <cellStyle name="Accent1 - 60% 2 3 3" xfId="2265" xr:uid="{00000000-0005-0000-0000-0000D9080000}"/>
    <cellStyle name="Accent1 - 60% 2 4" xfId="2266" xr:uid="{00000000-0005-0000-0000-0000DA080000}"/>
    <cellStyle name="Accent1 - 60% 2 4 2" xfId="2267" xr:uid="{00000000-0005-0000-0000-0000DB080000}"/>
    <cellStyle name="Accent1 - 60% 2 4 2 2" xfId="2268" xr:uid="{00000000-0005-0000-0000-0000DC080000}"/>
    <cellStyle name="Accent1 - 60% 2 4 3" xfId="2269" xr:uid="{00000000-0005-0000-0000-0000DD080000}"/>
    <cellStyle name="Accent1 - 60% 2 5" xfId="2270" xr:uid="{00000000-0005-0000-0000-0000DE080000}"/>
    <cellStyle name="Accent1 - 60% 3" xfId="2271" xr:uid="{00000000-0005-0000-0000-0000DF080000}"/>
    <cellStyle name="Accent1 - 60% 3 2" xfId="2272" xr:uid="{00000000-0005-0000-0000-0000E0080000}"/>
    <cellStyle name="Accent1 - 60% 3 2 2" xfId="2273" xr:uid="{00000000-0005-0000-0000-0000E1080000}"/>
    <cellStyle name="Accent1 - 60% 3 3" xfId="2274" xr:uid="{00000000-0005-0000-0000-0000E2080000}"/>
    <cellStyle name="Accent1 - 60% 4" xfId="2275" xr:uid="{00000000-0005-0000-0000-0000E3080000}"/>
    <cellStyle name="Accent1 - 60% 4 2" xfId="2276" xr:uid="{00000000-0005-0000-0000-0000E4080000}"/>
    <cellStyle name="Accent1 - 60% 5" xfId="2277" xr:uid="{00000000-0005-0000-0000-0000E5080000}"/>
    <cellStyle name="Accent1 - 60% 5 2" xfId="2278" xr:uid="{00000000-0005-0000-0000-0000E6080000}"/>
    <cellStyle name="Accent1 - 60% 6" xfId="2279" xr:uid="{00000000-0005-0000-0000-0000E7080000}"/>
    <cellStyle name="Accent1 - 60% 6 2" xfId="2280" xr:uid="{00000000-0005-0000-0000-0000E8080000}"/>
    <cellStyle name="Accent1 - 60% 6 2 2" xfId="2281" xr:uid="{00000000-0005-0000-0000-0000E9080000}"/>
    <cellStyle name="Accent1 - 60% 6 3" xfId="2282" xr:uid="{00000000-0005-0000-0000-0000EA080000}"/>
    <cellStyle name="Accent1 - 60% 7" xfId="2283" xr:uid="{00000000-0005-0000-0000-0000EB080000}"/>
    <cellStyle name="Accent1 - 60% 7 2" xfId="2284" xr:uid="{00000000-0005-0000-0000-0000EC080000}"/>
    <cellStyle name="Accent1 - 60% 8" xfId="2285" xr:uid="{00000000-0005-0000-0000-0000ED080000}"/>
    <cellStyle name="Accent1 - 60% 8 2" xfId="2286" xr:uid="{00000000-0005-0000-0000-0000EE080000}"/>
    <cellStyle name="Accent1 - 60% 9" xfId="2287" xr:uid="{00000000-0005-0000-0000-0000EF080000}"/>
    <cellStyle name="Accent1 10" xfId="2288" xr:uid="{00000000-0005-0000-0000-0000F0080000}"/>
    <cellStyle name="Accent1 10 2" xfId="2289" xr:uid="{00000000-0005-0000-0000-0000F1080000}"/>
    <cellStyle name="Accent1 10 2 2" xfId="2290" xr:uid="{00000000-0005-0000-0000-0000F2080000}"/>
    <cellStyle name="Accent1 10 3" xfId="2291" xr:uid="{00000000-0005-0000-0000-0000F3080000}"/>
    <cellStyle name="Accent1 100" xfId="2292" xr:uid="{00000000-0005-0000-0000-0000F4080000}"/>
    <cellStyle name="Accent1 100 2" xfId="2293" xr:uid="{00000000-0005-0000-0000-0000F5080000}"/>
    <cellStyle name="Accent1 100 2 2" xfId="2294" xr:uid="{00000000-0005-0000-0000-0000F6080000}"/>
    <cellStyle name="Accent1 100 3" xfId="2295" xr:uid="{00000000-0005-0000-0000-0000F7080000}"/>
    <cellStyle name="Accent1 101" xfId="2296" xr:uid="{00000000-0005-0000-0000-0000F8080000}"/>
    <cellStyle name="Accent1 101 2" xfId="2297" xr:uid="{00000000-0005-0000-0000-0000F9080000}"/>
    <cellStyle name="Accent1 101 2 2" xfId="2298" xr:uid="{00000000-0005-0000-0000-0000FA080000}"/>
    <cellStyle name="Accent1 101 3" xfId="2299" xr:uid="{00000000-0005-0000-0000-0000FB080000}"/>
    <cellStyle name="Accent1 102" xfId="2300" xr:uid="{00000000-0005-0000-0000-0000FC080000}"/>
    <cellStyle name="Accent1 102 2" xfId="2301" xr:uid="{00000000-0005-0000-0000-0000FD080000}"/>
    <cellStyle name="Accent1 103" xfId="2302" xr:uid="{00000000-0005-0000-0000-0000FE080000}"/>
    <cellStyle name="Accent1 103 2" xfId="2303" xr:uid="{00000000-0005-0000-0000-0000FF080000}"/>
    <cellStyle name="Accent1 104" xfId="2304" xr:uid="{00000000-0005-0000-0000-000000090000}"/>
    <cellStyle name="Accent1 104 2" xfId="2305" xr:uid="{00000000-0005-0000-0000-000001090000}"/>
    <cellStyle name="Accent1 104 2 2" xfId="2306" xr:uid="{00000000-0005-0000-0000-000002090000}"/>
    <cellStyle name="Accent1 104 3" xfId="2307" xr:uid="{00000000-0005-0000-0000-000003090000}"/>
    <cellStyle name="Accent1 105" xfId="2308" xr:uid="{00000000-0005-0000-0000-000004090000}"/>
    <cellStyle name="Accent1 105 2" xfId="2309" xr:uid="{00000000-0005-0000-0000-000005090000}"/>
    <cellStyle name="Accent1 105 2 2" xfId="2310" xr:uid="{00000000-0005-0000-0000-000006090000}"/>
    <cellStyle name="Accent1 105 3" xfId="2311" xr:uid="{00000000-0005-0000-0000-000007090000}"/>
    <cellStyle name="Accent1 106" xfId="2312" xr:uid="{00000000-0005-0000-0000-000008090000}"/>
    <cellStyle name="Accent1 106 2" xfId="2313" xr:uid="{00000000-0005-0000-0000-000009090000}"/>
    <cellStyle name="Accent1 106 2 2" xfId="2314" xr:uid="{00000000-0005-0000-0000-00000A090000}"/>
    <cellStyle name="Accent1 106 3" xfId="2315" xr:uid="{00000000-0005-0000-0000-00000B090000}"/>
    <cellStyle name="Accent1 107" xfId="2316" xr:uid="{00000000-0005-0000-0000-00000C090000}"/>
    <cellStyle name="Accent1 107 2" xfId="2317" xr:uid="{00000000-0005-0000-0000-00000D090000}"/>
    <cellStyle name="Accent1 107 2 2" xfId="2318" xr:uid="{00000000-0005-0000-0000-00000E090000}"/>
    <cellStyle name="Accent1 107 3" xfId="2319" xr:uid="{00000000-0005-0000-0000-00000F090000}"/>
    <cellStyle name="Accent1 108" xfId="2320" xr:uid="{00000000-0005-0000-0000-000010090000}"/>
    <cellStyle name="Accent1 108 2" xfId="2321" xr:uid="{00000000-0005-0000-0000-000011090000}"/>
    <cellStyle name="Accent1 108 2 2" xfId="2322" xr:uid="{00000000-0005-0000-0000-000012090000}"/>
    <cellStyle name="Accent1 108 3" xfId="2323" xr:uid="{00000000-0005-0000-0000-000013090000}"/>
    <cellStyle name="Accent1 109" xfId="2324" xr:uid="{00000000-0005-0000-0000-000014090000}"/>
    <cellStyle name="Accent1 109 2" xfId="2325" xr:uid="{00000000-0005-0000-0000-000015090000}"/>
    <cellStyle name="Accent1 109 2 2" xfId="2326" xr:uid="{00000000-0005-0000-0000-000016090000}"/>
    <cellStyle name="Accent1 109 3" xfId="2327" xr:uid="{00000000-0005-0000-0000-000017090000}"/>
    <cellStyle name="Accent1 11" xfId="2328" xr:uid="{00000000-0005-0000-0000-000018090000}"/>
    <cellStyle name="Accent1 11 2" xfId="2329" xr:uid="{00000000-0005-0000-0000-000019090000}"/>
    <cellStyle name="Accent1 11 2 2" xfId="2330" xr:uid="{00000000-0005-0000-0000-00001A090000}"/>
    <cellStyle name="Accent1 11 3" xfId="2331" xr:uid="{00000000-0005-0000-0000-00001B090000}"/>
    <cellStyle name="Accent1 110" xfId="2332" xr:uid="{00000000-0005-0000-0000-00001C090000}"/>
    <cellStyle name="Accent1 110 2" xfId="2333" xr:uid="{00000000-0005-0000-0000-00001D090000}"/>
    <cellStyle name="Accent1 110 2 2" xfId="2334" xr:uid="{00000000-0005-0000-0000-00001E090000}"/>
    <cellStyle name="Accent1 110 3" xfId="2335" xr:uid="{00000000-0005-0000-0000-00001F090000}"/>
    <cellStyle name="Accent1 111" xfId="2336" xr:uid="{00000000-0005-0000-0000-000020090000}"/>
    <cellStyle name="Accent1 111 2" xfId="2337" xr:uid="{00000000-0005-0000-0000-000021090000}"/>
    <cellStyle name="Accent1 111 2 2" xfId="2338" xr:uid="{00000000-0005-0000-0000-000022090000}"/>
    <cellStyle name="Accent1 111 3" xfId="2339" xr:uid="{00000000-0005-0000-0000-000023090000}"/>
    <cellStyle name="Accent1 112" xfId="2340" xr:uid="{00000000-0005-0000-0000-000024090000}"/>
    <cellStyle name="Accent1 112 2" xfId="2341" xr:uid="{00000000-0005-0000-0000-000025090000}"/>
    <cellStyle name="Accent1 112 2 2" xfId="2342" xr:uid="{00000000-0005-0000-0000-000026090000}"/>
    <cellStyle name="Accent1 112 3" xfId="2343" xr:uid="{00000000-0005-0000-0000-000027090000}"/>
    <cellStyle name="Accent1 113" xfId="2344" xr:uid="{00000000-0005-0000-0000-000028090000}"/>
    <cellStyle name="Accent1 113 2" xfId="2345" xr:uid="{00000000-0005-0000-0000-000029090000}"/>
    <cellStyle name="Accent1 113 2 2" xfId="2346" xr:uid="{00000000-0005-0000-0000-00002A090000}"/>
    <cellStyle name="Accent1 113 3" xfId="2347" xr:uid="{00000000-0005-0000-0000-00002B090000}"/>
    <cellStyle name="Accent1 114" xfId="2348" xr:uid="{00000000-0005-0000-0000-00002C090000}"/>
    <cellStyle name="Accent1 114 2" xfId="2349" xr:uid="{00000000-0005-0000-0000-00002D090000}"/>
    <cellStyle name="Accent1 115" xfId="2350" xr:uid="{00000000-0005-0000-0000-00002E090000}"/>
    <cellStyle name="Accent1 115 2" xfId="2351" xr:uid="{00000000-0005-0000-0000-00002F090000}"/>
    <cellStyle name="Accent1 116" xfId="2352" xr:uid="{00000000-0005-0000-0000-000030090000}"/>
    <cellStyle name="Accent1 116 2" xfId="2353" xr:uid="{00000000-0005-0000-0000-000031090000}"/>
    <cellStyle name="Accent1 117" xfId="2354" xr:uid="{00000000-0005-0000-0000-000032090000}"/>
    <cellStyle name="Accent1 117 2" xfId="2355" xr:uid="{00000000-0005-0000-0000-000033090000}"/>
    <cellStyle name="Accent1 118" xfId="2356" xr:uid="{00000000-0005-0000-0000-000034090000}"/>
    <cellStyle name="Accent1 118 2" xfId="2357" xr:uid="{00000000-0005-0000-0000-000035090000}"/>
    <cellStyle name="Accent1 119" xfId="2358" xr:uid="{00000000-0005-0000-0000-000036090000}"/>
    <cellStyle name="Accent1 119 2" xfId="2359" xr:uid="{00000000-0005-0000-0000-000037090000}"/>
    <cellStyle name="Accent1 12" xfId="2360" xr:uid="{00000000-0005-0000-0000-000038090000}"/>
    <cellStyle name="Accent1 12 2" xfId="2361" xr:uid="{00000000-0005-0000-0000-000039090000}"/>
    <cellStyle name="Accent1 12 2 2" xfId="2362" xr:uid="{00000000-0005-0000-0000-00003A090000}"/>
    <cellStyle name="Accent1 12 3" xfId="2363" xr:uid="{00000000-0005-0000-0000-00003B090000}"/>
    <cellStyle name="Accent1 120" xfId="2364" xr:uid="{00000000-0005-0000-0000-00003C090000}"/>
    <cellStyle name="Accent1 120 2" xfId="2365" xr:uid="{00000000-0005-0000-0000-00003D090000}"/>
    <cellStyle name="Accent1 121" xfId="2366" xr:uid="{00000000-0005-0000-0000-00003E090000}"/>
    <cellStyle name="Accent1 121 2" xfId="2367" xr:uid="{00000000-0005-0000-0000-00003F090000}"/>
    <cellStyle name="Accent1 122" xfId="2368" xr:uid="{00000000-0005-0000-0000-000040090000}"/>
    <cellStyle name="Accent1 122 2" xfId="2369" xr:uid="{00000000-0005-0000-0000-000041090000}"/>
    <cellStyle name="Accent1 123" xfId="2370" xr:uid="{00000000-0005-0000-0000-000042090000}"/>
    <cellStyle name="Accent1 123 2" xfId="2371" xr:uid="{00000000-0005-0000-0000-000043090000}"/>
    <cellStyle name="Accent1 124" xfId="2372" xr:uid="{00000000-0005-0000-0000-000044090000}"/>
    <cellStyle name="Accent1 124 2" xfId="2373" xr:uid="{00000000-0005-0000-0000-000045090000}"/>
    <cellStyle name="Accent1 125" xfId="2374" xr:uid="{00000000-0005-0000-0000-000046090000}"/>
    <cellStyle name="Accent1 125 2" xfId="2375" xr:uid="{00000000-0005-0000-0000-000047090000}"/>
    <cellStyle name="Accent1 126" xfId="2376" xr:uid="{00000000-0005-0000-0000-000048090000}"/>
    <cellStyle name="Accent1 127" xfId="2377" xr:uid="{00000000-0005-0000-0000-000049090000}"/>
    <cellStyle name="Accent1 128" xfId="2378" xr:uid="{00000000-0005-0000-0000-00004A090000}"/>
    <cellStyle name="Accent1 129" xfId="2379" xr:uid="{00000000-0005-0000-0000-00004B090000}"/>
    <cellStyle name="Accent1 13" xfId="2380" xr:uid="{00000000-0005-0000-0000-00004C090000}"/>
    <cellStyle name="Accent1 13 2" xfId="2381" xr:uid="{00000000-0005-0000-0000-00004D090000}"/>
    <cellStyle name="Accent1 13 2 2" xfId="2382" xr:uid="{00000000-0005-0000-0000-00004E090000}"/>
    <cellStyle name="Accent1 13 3" xfId="2383" xr:uid="{00000000-0005-0000-0000-00004F090000}"/>
    <cellStyle name="Accent1 130" xfId="2384" xr:uid="{00000000-0005-0000-0000-000050090000}"/>
    <cellStyle name="Accent1 131" xfId="2385" xr:uid="{00000000-0005-0000-0000-000051090000}"/>
    <cellStyle name="Accent1 132" xfId="2386" xr:uid="{00000000-0005-0000-0000-000052090000}"/>
    <cellStyle name="Accent1 133" xfId="2387" xr:uid="{00000000-0005-0000-0000-000053090000}"/>
    <cellStyle name="Accent1 134" xfId="2388" xr:uid="{00000000-0005-0000-0000-000054090000}"/>
    <cellStyle name="Accent1 135" xfId="2389" xr:uid="{00000000-0005-0000-0000-000055090000}"/>
    <cellStyle name="Accent1 136" xfId="2390" xr:uid="{00000000-0005-0000-0000-000056090000}"/>
    <cellStyle name="Accent1 137" xfId="2391" xr:uid="{00000000-0005-0000-0000-000057090000}"/>
    <cellStyle name="Accent1 138" xfId="2392" xr:uid="{00000000-0005-0000-0000-000058090000}"/>
    <cellStyle name="Accent1 139" xfId="2393" xr:uid="{00000000-0005-0000-0000-000059090000}"/>
    <cellStyle name="Accent1 14" xfId="2394" xr:uid="{00000000-0005-0000-0000-00005A090000}"/>
    <cellStyle name="Accent1 14 2" xfId="2395" xr:uid="{00000000-0005-0000-0000-00005B090000}"/>
    <cellStyle name="Accent1 14 2 2" xfId="2396" xr:uid="{00000000-0005-0000-0000-00005C090000}"/>
    <cellStyle name="Accent1 14 3" xfId="2397" xr:uid="{00000000-0005-0000-0000-00005D090000}"/>
    <cellStyle name="Accent1 140" xfId="2398" xr:uid="{00000000-0005-0000-0000-00005E090000}"/>
    <cellStyle name="Accent1 141" xfId="2399" xr:uid="{00000000-0005-0000-0000-00005F090000}"/>
    <cellStyle name="Accent1 142" xfId="2400" xr:uid="{00000000-0005-0000-0000-000060090000}"/>
    <cellStyle name="Accent1 143" xfId="2401" xr:uid="{00000000-0005-0000-0000-000061090000}"/>
    <cellStyle name="Accent1 144" xfId="2402" xr:uid="{00000000-0005-0000-0000-000062090000}"/>
    <cellStyle name="Accent1 145" xfId="2403" xr:uid="{00000000-0005-0000-0000-000063090000}"/>
    <cellStyle name="Accent1 146" xfId="2404" xr:uid="{00000000-0005-0000-0000-000064090000}"/>
    <cellStyle name="Accent1 147" xfId="2405" xr:uid="{00000000-0005-0000-0000-000065090000}"/>
    <cellStyle name="Accent1 148" xfId="2406" xr:uid="{00000000-0005-0000-0000-000066090000}"/>
    <cellStyle name="Accent1 149" xfId="2407" xr:uid="{00000000-0005-0000-0000-000067090000}"/>
    <cellStyle name="Accent1 15" xfId="2408" xr:uid="{00000000-0005-0000-0000-000068090000}"/>
    <cellStyle name="Accent1 15 2" xfId="2409" xr:uid="{00000000-0005-0000-0000-000069090000}"/>
    <cellStyle name="Accent1 15 2 2" xfId="2410" xr:uid="{00000000-0005-0000-0000-00006A090000}"/>
    <cellStyle name="Accent1 15 3" xfId="2411" xr:uid="{00000000-0005-0000-0000-00006B090000}"/>
    <cellStyle name="Accent1 150" xfId="2412" xr:uid="{00000000-0005-0000-0000-00006C090000}"/>
    <cellStyle name="Accent1 151" xfId="2413" xr:uid="{00000000-0005-0000-0000-00006D090000}"/>
    <cellStyle name="Accent1 152" xfId="2414" xr:uid="{00000000-0005-0000-0000-00006E090000}"/>
    <cellStyle name="Accent1 153" xfId="2415" xr:uid="{00000000-0005-0000-0000-00006F090000}"/>
    <cellStyle name="Accent1 154" xfId="2416" xr:uid="{00000000-0005-0000-0000-000070090000}"/>
    <cellStyle name="Accent1 155" xfId="2417" xr:uid="{00000000-0005-0000-0000-000071090000}"/>
    <cellStyle name="Accent1 156" xfId="2418" xr:uid="{00000000-0005-0000-0000-000072090000}"/>
    <cellStyle name="Accent1 157" xfId="2419" xr:uid="{00000000-0005-0000-0000-000073090000}"/>
    <cellStyle name="Accent1 158" xfId="2420" xr:uid="{00000000-0005-0000-0000-000074090000}"/>
    <cellStyle name="Accent1 159" xfId="2421" xr:uid="{00000000-0005-0000-0000-000075090000}"/>
    <cellStyle name="Accent1 16" xfId="2422" xr:uid="{00000000-0005-0000-0000-000076090000}"/>
    <cellStyle name="Accent1 16 2" xfId="2423" xr:uid="{00000000-0005-0000-0000-000077090000}"/>
    <cellStyle name="Accent1 16 2 2" xfId="2424" xr:uid="{00000000-0005-0000-0000-000078090000}"/>
    <cellStyle name="Accent1 16 3" xfId="2425" xr:uid="{00000000-0005-0000-0000-000079090000}"/>
    <cellStyle name="Accent1 160" xfId="2426" xr:uid="{00000000-0005-0000-0000-00007A090000}"/>
    <cellStyle name="Accent1 161" xfId="2427" xr:uid="{00000000-0005-0000-0000-00007B090000}"/>
    <cellStyle name="Accent1 162" xfId="2428" xr:uid="{00000000-0005-0000-0000-00007C090000}"/>
    <cellStyle name="Accent1 163" xfId="2429" xr:uid="{00000000-0005-0000-0000-00007D090000}"/>
    <cellStyle name="Accent1 164" xfId="2430" xr:uid="{00000000-0005-0000-0000-00007E090000}"/>
    <cellStyle name="Accent1 165" xfId="2431" xr:uid="{00000000-0005-0000-0000-00007F090000}"/>
    <cellStyle name="Accent1 166" xfId="2432" xr:uid="{00000000-0005-0000-0000-000080090000}"/>
    <cellStyle name="Accent1 167" xfId="2433" xr:uid="{00000000-0005-0000-0000-000081090000}"/>
    <cellStyle name="Accent1 168" xfId="2434" xr:uid="{00000000-0005-0000-0000-000082090000}"/>
    <cellStyle name="Accent1 169" xfId="2435" xr:uid="{00000000-0005-0000-0000-000083090000}"/>
    <cellStyle name="Accent1 17" xfId="2436" xr:uid="{00000000-0005-0000-0000-000084090000}"/>
    <cellStyle name="Accent1 17 2" xfId="2437" xr:uid="{00000000-0005-0000-0000-000085090000}"/>
    <cellStyle name="Accent1 17 2 2" xfId="2438" xr:uid="{00000000-0005-0000-0000-000086090000}"/>
    <cellStyle name="Accent1 17 3" xfId="2439" xr:uid="{00000000-0005-0000-0000-000087090000}"/>
    <cellStyle name="Accent1 170" xfId="2440" xr:uid="{00000000-0005-0000-0000-000088090000}"/>
    <cellStyle name="Accent1 171" xfId="2441" xr:uid="{00000000-0005-0000-0000-000089090000}"/>
    <cellStyle name="Accent1 172" xfId="2442" xr:uid="{00000000-0005-0000-0000-00008A090000}"/>
    <cellStyle name="Accent1 173" xfId="2443" xr:uid="{00000000-0005-0000-0000-00008B090000}"/>
    <cellStyle name="Accent1 174" xfId="2444" xr:uid="{00000000-0005-0000-0000-00008C090000}"/>
    <cellStyle name="Accent1 175" xfId="2445" xr:uid="{00000000-0005-0000-0000-00008D090000}"/>
    <cellStyle name="Accent1 176" xfId="2446" xr:uid="{00000000-0005-0000-0000-00008E090000}"/>
    <cellStyle name="Accent1 177" xfId="2447" xr:uid="{00000000-0005-0000-0000-00008F090000}"/>
    <cellStyle name="Accent1 178" xfId="2448" xr:uid="{00000000-0005-0000-0000-000090090000}"/>
    <cellStyle name="Accent1 179" xfId="2449" xr:uid="{00000000-0005-0000-0000-000091090000}"/>
    <cellStyle name="Accent1 18" xfId="2450" xr:uid="{00000000-0005-0000-0000-000092090000}"/>
    <cellStyle name="Accent1 18 2" xfId="2451" xr:uid="{00000000-0005-0000-0000-000093090000}"/>
    <cellStyle name="Accent1 18 2 2" xfId="2452" xr:uid="{00000000-0005-0000-0000-000094090000}"/>
    <cellStyle name="Accent1 18 3" xfId="2453" xr:uid="{00000000-0005-0000-0000-000095090000}"/>
    <cellStyle name="Accent1 19" xfId="2454" xr:uid="{00000000-0005-0000-0000-000096090000}"/>
    <cellStyle name="Accent1 19 2" xfId="2455" xr:uid="{00000000-0005-0000-0000-000097090000}"/>
    <cellStyle name="Accent1 19 2 2" xfId="2456" xr:uid="{00000000-0005-0000-0000-000098090000}"/>
    <cellStyle name="Accent1 19 3" xfId="2457" xr:uid="{00000000-0005-0000-0000-000099090000}"/>
    <cellStyle name="Accent1 2" xfId="2458" xr:uid="{00000000-0005-0000-0000-00009A090000}"/>
    <cellStyle name="Accent1 2 10" xfId="2459" xr:uid="{00000000-0005-0000-0000-00009B090000}"/>
    <cellStyle name="Accent1 2 10 2" xfId="2460" xr:uid="{00000000-0005-0000-0000-00009C090000}"/>
    <cellStyle name="Accent1 2 11" xfId="2461" xr:uid="{00000000-0005-0000-0000-00009D090000}"/>
    <cellStyle name="Accent1 2 12" xfId="2462" xr:uid="{00000000-0005-0000-0000-00009E090000}"/>
    <cellStyle name="Accent1 2 2" xfId="2463" xr:uid="{00000000-0005-0000-0000-00009F090000}"/>
    <cellStyle name="Accent1 2 2 2" xfId="2464" xr:uid="{00000000-0005-0000-0000-0000A0090000}"/>
    <cellStyle name="Accent1 2 2 2 2" xfId="2465" xr:uid="{00000000-0005-0000-0000-0000A1090000}"/>
    <cellStyle name="Accent1 2 2 3" xfId="2466" xr:uid="{00000000-0005-0000-0000-0000A2090000}"/>
    <cellStyle name="Accent1 2 2 3 2" xfId="2467" xr:uid="{00000000-0005-0000-0000-0000A3090000}"/>
    <cellStyle name="Accent1 2 2 3 2 2" xfId="2468" xr:uid="{00000000-0005-0000-0000-0000A4090000}"/>
    <cellStyle name="Accent1 2 2 3 3" xfId="2469" xr:uid="{00000000-0005-0000-0000-0000A5090000}"/>
    <cellStyle name="Accent1 2 2 4" xfId="2470" xr:uid="{00000000-0005-0000-0000-0000A6090000}"/>
    <cellStyle name="Accent1 2 3" xfId="2471" xr:uid="{00000000-0005-0000-0000-0000A7090000}"/>
    <cellStyle name="Accent1 2 3 2" xfId="2472" xr:uid="{00000000-0005-0000-0000-0000A8090000}"/>
    <cellStyle name="Accent1 2 3 2 2" xfId="2473" xr:uid="{00000000-0005-0000-0000-0000A9090000}"/>
    <cellStyle name="Accent1 2 3 3" xfId="2474" xr:uid="{00000000-0005-0000-0000-0000AA090000}"/>
    <cellStyle name="Accent1 2 3 3 2" xfId="2475" xr:uid="{00000000-0005-0000-0000-0000AB090000}"/>
    <cellStyle name="Accent1 2 3 3 2 2" xfId="2476" xr:uid="{00000000-0005-0000-0000-0000AC090000}"/>
    <cellStyle name="Accent1 2 3 3 3" xfId="2477" xr:uid="{00000000-0005-0000-0000-0000AD090000}"/>
    <cellStyle name="Accent1 2 3 4" xfId="2478" xr:uid="{00000000-0005-0000-0000-0000AE090000}"/>
    <cellStyle name="Accent1 2 4" xfId="2479" xr:uid="{00000000-0005-0000-0000-0000AF090000}"/>
    <cellStyle name="Accent1 2 4 2" xfId="2480" xr:uid="{00000000-0005-0000-0000-0000B0090000}"/>
    <cellStyle name="Accent1 2 4 2 2" xfId="2481" xr:uid="{00000000-0005-0000-0000-0000B1090000}"/>
    <cellStyle name="Accent1 2 4 3" xfId="2482" xr:uid="{00000000-0005-0000-0000-0000B2090000}"/>
    <cellStyle name="Accent1 2 5" xfId="2483" xr:uid="{00000000-0005-0000-0000-0000B3090000}"/>
    <cellStyle name="Accent1 2 5 2" xfId="2484" xr:uid="{00000000-0005-0000-0000-0000B4090000}"/>
    <cellStyle name="Accent1 2 5 2 2" xfId="2485" xr:uid="{00000000-0005-0000-0000-0000B5090000}"/>
    <cellStyle name="Accent1 2 5 3" xfId="2486" xr:uid="{00000000-0005-0000-0000-0000B6090000}"/>
    <cellStyle name="Accent1 2 5 3 2" xfId="2487" xr:uid="{00000000-0005-0000-0000-0000B7090000}"/>
    <cellStyle name="Accent1 2 5 3 2 2" xfId="2488" xr:uid="{00000000-0005-0000-0000-0000B8090000}"/>
    <cellStyle name="Accent1 2 5 3 3" xfId="2489" xr:uid="{00000000-0005-0000-0000-0000B9090000}"/>
    <cellStyle name="Accent1 2 5 4" xfId="2490" xr:uid="{00000000-0005-0000-0000-0000BA090000}"/>
    <cellStyle name="Accent1 2 6" xfId="2491" xr:uid="{00000000-0005-0000-0000-0000BB090000}"/>
    <cellStyle name="Accent1 2 6 2" xfId="2492" xr:uid="{00000000-0005-0000-0000-0000BC090000}"/>
    <cellStyle name="Accent1 2 7" xfId="2493" xr:uid="{00000000-0005-0000-0000-0000BD090000}"/>
    <cellStyle name="Accent1 2 7 2" xfId="2494" xr:uid="{00000000-0005-0000-0000-0000BE090000}"/>
    <cellStyle name="Accent1 2 8" xfId="2495" xr:uid="{00000000-0005-0000-0000-0000BF090000}"/>
    <cellStyle name="Accent1 2 8 2" xfId="2496" xr:uid="{00000000-0005-0000-0000-0000C0090000}"/>
    <cellStyle name="Accent1 2 8 2 2" xfId="2497" xr:uid="{00000000-0005-0000-0000-0000C1090000}"/>
    <cellStyle name="Accent1 2 8 3" xfId="2498" xr:uid="{00000000-0005-0000-0000-0000C2090000}"/>
    <cellStyle name="Accent1 2 9" xfId="2499" xr:uid="{00000000-0005-0000-0000-0000C3090000}"/>
    <cellStyle name="Accent1 2 9 2" xfId="2500" xr:uid="{00000000-0005-0000-0000-0000C4090000}"/>
    <cellStyle name="Accent1 2 9 2 2" xfId="2501" xr:uid="{00000000-0005-0000-0000-0000C5090000}"/>
    <cellStyle name="Accent1 2 9 3" xfId="2502" xr:uid="{00000000-0005-0000-0000-0000C6090000}"/>
    <cellStyle name="Accent1 20" xfId="2503" xr:uid="{00000000-0005-0000-0000-0000C7090000}"/>
    <cellStyle name="Accent1 20 2" xfId="2504" xr:uid="{00000000-0005-0000-0000-0000C8090000}"/>
    <cellStyle name="Accent1 20 2 2" xfId="2505" xr:uid="{00000000-0005-0000-0000-0000C9090000}"/>
    <cellStyle name="Accent1 20 3" xfId="2506" xr:uid="{00000000-0005-0000-0000-0000CA090000}"/>
    <cellStyle name="Accent1 21" xfId="2507" xr:uid="{00000000-0005-0000-0000-0000CB090000}"/>
    <cellStyle name="Accent1 21 2" xfId="2508" xr:uid="{00000000-0005-0000-0000-0000CC090000}"/>
    <cellStyle name="Accent1 21 2 2" xfId="2509" xr:uid="{00000000-0005-0000-0000-0000CD090000}"/>
    <cellStyle name="Accent1 21 3" xfId="2510" xr:uid="{00000000-0005-0000-0000-0000CE090000}"/>
    <cellStyle name="Accent1 22" xfId="2511" xr:uid="{00000000-0005-0000-0000-0000CF090000}"/>
    <cellStyle name="Accent1 22 2" xfId="2512" xr:uid="{00000000-0005-0000-0000-0000D0090000}"/>
    <cellStyle name="Accent1 22 2 2" xfId="2513" xr:uid="{00000000-0005-0000-0000-0000D1090000}"/>
    <cellStyle name="Accent1 22 3" xfId="2514" xr:uid="{00000000-0005-0000-0000-0000D2090000}"/>
    <cellStyle name="Accent1 23" xfId="2515" xr:uid="{00000000-0005-0000-0000-0000D3090000}"/>
    <cellStyle name="Accent1 23 2" xfId="2516" xr:uid="{00000000-0005-0000-0000-0000D4090000}"/>
    <cellStyle name="Accent1 23 2 2" xfId="2517" xr:uid="{00000000-0005-0000-0000-0000D5090000}"/>
    <cellStyle name="Accent1 23 3" xfId="2518" xr:uid="{00000000-0005-0000-0000-0000D6090000}"/>
    <cellStyle name="Accent1 24" xfId="2519" xr:uid="{00000000-0005-0000-0000-0000D7090000}"/>
    <cellStyle name="Accent1 24 2" xfId="2520" xr:uid="{00000000-0005-0000-0000-0000D8090000}"/>
    <cellStyle name="Accent1 24 2 2" xfId="2521" xr:uid="{00000000-0005-0000-0000-0000D9090000}"/>
    <cellStyle name="Accent1 24 3" xfId="2522" xr:uid="{00000000-0005-0000-0000-0000DA090000}"/>
    <cellStyle name="Accent1 25" xfId="2523" xr:uid="{00000000-0005-0000-0000-0000DB090000}"/>
    <cellStyle name="Accent1 25 2" xfId="2524" xr:uid="{00000000-0005-0000-0000-0000DC090000}"/>
    <cellStyle name="Accent1 25 2 2" xfId="2525" xr:uid="{00000000-0005-0000-0000-0000DD090000}"/>
    <cellStyle name="Accent1 25 3" xfId="2526" xr:uid="{00000000-0005-0000-0000-0000DE090000}"/>
    <cellStyle name="Accent1 26" xfId="2527" xr:uid="{00000000-0005-0000-0000-0000DF090000}"/>
    <cellStyle name="Accent1 26 2" xfId="2528" xr:uid="{00000000-0005-0000-0000-0000E0090000}"/>
    <cellStyle name="Accent1 26 2 2" xfId="2529" xr:uid="{00000000-0005-0000-0000-0000E1090000}"/>
    <cellStyle name="Accent1 26 3" xfId="2530" xr:uid="{00000000-0005-0000-0000-0000E2090000}"/>
    <cellStyle name="Accent1 27" xfId="2531" xr:uid="{00000000-0005-0000-0000-0000E3090000}"/>
    <cellStyle name="Accent1 27 2" xfId="2532" xr:uid="{00000000-0005-0000-0000-0000E4090000}"/>
    <cellStyle name="Accent1 27 2 2" xfId="2533" xr:uid="{00000000-0005-0000-0000-0000E5090000}"/>
    <cellStyle name="Accent1 27 3" xfId="2534" xr:uid="{00000000-0005-0000-0000-0000E6090000}"/>
    <cellStyle name="Accent1 28" xfId="2535" xr:uid="{00000000-0005-0000-0000-0000E7090000}"/>
    <cellStyle name="Accent1 28 2" xfId="2536" xr:uid="{00000000-0005-0000-0000-0000E8090000}"/>
    <cellStyle name="Accent1 28 2 2" xfId="2537" xr:uid="{00000000-0005-0000-0000-0000E9090000}"/>
    <cellStyle name="Accent1 28 3" xfId="2538" xr:uid="{00000000-0005-0000-0000-0000EA090000}"/>
    <cellStyle name="Accent1 29" xfId="2539" xr:uid="{00000000-0005-0000-0000-0000EB090000}"/>
    <cellStyle name="Accent1 29 2" xfId="2540" xr:uid="{00000000-0005-0000-0000-0000EC090000}"/>
    <cellStyle name="Accent1 29 2 2" xfId="2541" xr:uid="{00000000-0005-0000-0000-0000ED090000}"/>
    <cellStyle name="Accent1 29 3" xfId="2542" xr:uid="{00000000-0005-0000-0000-0000EE090000}"/>
    <cellStyle name="Accent1 3" xfId="2543" xr:uid="{00000000-0005-0000-0000-0000EF090000}"/>
    <cellStyle name="Accent1 3 10" xfId="2544" xr:uid="{00000000-0005-0000-0000-0000F0090000}"/>
    <cellStyle name="Accent1 3 10 2" xfId="2545" xr:uid="{00000000-0005-0000-0000-0000F1090000}"/>
    <cellStyle name="Accent1 3 11" xfId="2546" xr:uid="{00000000-0005-0000-0000-0000F2090000}"/>
    <cellStyle name="Accent1 3 2" xfId="2547" xr:uid="{00000000-0005-0000-0000-0000F3090000}"/>
    <cellStyle name="Accent1 3 2 2" xfId="2548" xr:uid="{00000000-0005-0000-0000-0000F4090000}"/>
    <cellStyle name="Accent1 3 2 2 2" xfId="2549" xr:uid="{00000000-0005-0000-0000-0000F5090000}"/>
    <cellStyle name="Accent1 3 2 3" xfId="2550" xr:uid="{00000000-0005-0000-0000-0000F6090000}"/>
    <cellStyle name="Accent1 3 2 3 2" xfId="2551" xr:uid="{00000000-0005-0000-0000-0000F7090000}"/>
    <cellStyle name="Accent1 3 2 3 2 2" xfId="2552" xr:uid="{00000000-0005-0000-0000-0000F8090000}"/>
    <cellStyle name="Accent1 3 2 3 3" xfId="2553" xr:uid="{00000000-0005-0000-0000-0000F9090000}"/>
    <cellStyle name="Accent1 3 2 4" xfId="2554" xr:uid="{00000000-0005-0000-0000-0000FA090000}"/>
    <cellStyle name="Accent1 3 3" xfId="2555" xr:uid="{00000000-0005-0000-0000-0000FB090000}"/>
    <cellStyle name="Accent1 3 3 2" xfId="2556" xr:uid="{00000000-0005-0000-0000-0000FC090000}"/>
    <cellStyle name="Accent1 3 3 2 2" xfId="2557" xr:uid="{00000000-0005-0000-0000-0000FD090000}"/>
    <cellStyle name="Accent1 3 3 3" xfId="2558" xr:uid="{00000000-0005-0000-0000-0000FE090000}"/>
    <cellStyle name="Accent1 3 3 3 2" xfId="2559" xr:uid="{00000000-0005-0000-0000-0000FF090000}"/>
    <cellStyle name="Accent1 3 3 3 2 2" xfId="2560" xr:uid="{00000000-0005-0000-0000-0000000A0000}"/>
    <cellStyle name="Accent1 3 3 3 3" xfId="2561" xr:uid="{00000000-0005-0000-0000-0000010A0000}"/>
    <cellStyle name="Accent1 3 3 4" xfId="2562" xr:uid="{00000000-0005-0000-0000-0000020A0000}"/>
    <cellStyle name="Accent1 3 4" xfId="2563" xr:uid="{00000000-0005-0000-0000-0000030A0000}"/>
    <cellStyle name="Accent1 3 4 2" xfId="2564" xr:uid="{00000000-0005-0000-0000-0000040A0000}"/>
    <cellStyle name="Accent1 3 4 2 2" xfId="2565" xr:uid="{00000000-0005-0000-0000-0000050A0000}"/>
    <cellStyle name="Accent1 3 4 3" xfId="2566" xr:uid="{00000000-0005-0000-0000-0000060A0000}"/>
    <cellStyle name="Accent1 3 5" xfId="2567" xr:uid="{00000000-0005-0000-0000-0000070A0000}"/>
    <cellStyle name="Accent1 3 5 2" xfId="2568" xr:uid="{00000000-0005-0000-0000-0000080A0000}"/>
    <cellStyle name="Accent1 3 5 2 2" xfId="2569" xr:uid="{00000000-0005-0000-0000-0000090A0000}"/>
    <cellStyle name="Accent1 3 5 3" xfId="2570" xr:uid="{00000000-0005-0000-0000-00000A0A0000}"/>
    <cellStyle name="Accent1 3 5 3 2" xfId="2571" xr:uid="{00000000-0005-0000-0000-00000B0A0000}"/>
    <cellStyle name="Accent1 3 5 3 2 2" xfId="2572" xr:uid="{00000000-0005-0000-0000-00000C0A0000}"/>
    <cellStyle name="Accent1 3 5 3 3" xfId="2573" xr:uid="{00000000-0005-0000-0000-00000D0A0000}"/>
    <cellStyle name="Accent1 3 5 4" xfId="2574" xr:uid="{00000000-0005-0000-0000-00000E0A0000}"/>
    <cellStyle name="Accent1 3 6" xfId="2575" xr:uid="{00000000-0005-0000-0000-00000F0A0000}"/>
    <cellStyle name="Accent1 3 6 2" xfId="2576" xr:uid="{00000000-0005-0000-0000-0000100A0000}"/>
    <cellStyle name="Accent1 3 7" xfId="2577" xr:uid="{00000000-0005-0000-0000-0000110A0000}"/>
    <cellStyle name="Accent1 3 7 2" xfId="2578" xr:uid="{00000000-0005-0000-0000-0000120A0000}"/>
    <cellStyle name="Accent1 3 8" xfId="2579" xr:uid="{00000000-0005-0000-0000-0000130A0000}"/>
    <cellStyle name="Accent1 3 8 2" xfId="2580" xr:uid="{00000000-0005-0000-0000-0000140A0000}"/>
    <cellStyle name="Accent1 3 8 2 2" xfId="2581" xr:uid="{00000000-0005-0000-0000-0000150A0000}"/>
    <cellStyle name="Accent1 3 8 3" xfId="2582" xr:uid="{00000000-0005-0000-0000-0000160A0000}"/>
    <cellStyle name="Accent1 3 9" xfId="2583" xr:uid="{00000000-0005-0000-0000-0000170A0000}"/>
    <cellStyle name="Accent1 3 9 2" xfId="2584" xr:uid="{00000000-0005-0000-0000-0000180A0000}"/>
    <cellStyle name="Accent1 3 9 2 2" xfId="2585" xr:uid="{00000000-0005-0000-0000-0000190A0000}"/>
    <cellStyle name="Accent1 3 9 3" xfId="2586" xr:uid="{00000000-0005-0000-0000-00001A0A0000}"/>
    <cellStyle name="Accent1 30" xfId="2587" xr:uid="{00000000-0005-0000-0000-00001B0A0000}"/>
    <cellStyle name="Accent1 30 2" xfId="2588" xr:uid="{00000000-0005-0000-0000-00001C0A0000}"/>
    <cellStyle name="Accent1 30 2 2" xfId="2589" xr:uid="{00000000-0005-0000-0000-00001D0A0000}"/>
    <cellStyle name="Accent1 30 3" xfId="2590" xr:uid="{00000000-0005-0000-0000-00001E0A0000}"/>
    <cellStyle name="Accent1 31" xfId="2591" xr:uid="{00000000-0005-0000-0000-00001F0A0000}"/>
    <cellStyle name="Accent1 31 2" xfId="2592" xr:uid="{00000000-0005-0000-0000-0000200A0000}"/>
    <cellStyle name="Accent1 31 2 2" xfId="2593" xr:uid="{00000000-0005-0000-0000-0000210A0000}"/>
    <cellStyle name="Accent1 31 3" xfId="2594" xr:uid="{00000000-0005-0000-0000-0000220A0000}"/>
    <cellStyle name="Accent1 32" xfId="2595" xr:uid="{00000000-0005-0000-0000-0000230A0000}"/>
    <cellStyle name="Accent1 32 2" xfId="2596" xr:uid="{00000000-0005-0000-0000-0000240A0000}"/>
    <cellStyle name="Accent1 32 2 2" xfId="2597" xr:uid="{00000000-0005-0000-0000-0000250A0000}"/>
    <cellStyle name="Accent1 32 3" xfId="2598" xr:uid="{00000000-0005-0000-0000-0000260A0000}"/>
    <cellStyle name="Accent1 33" xfId="2599" xr:uid="{00000000-0005-0000-0000-0000270A0000}"/>
    <cellStyle name="Accent1 33 2" xfId="2600" xr:uid="{00000000-0005-0000-0000-0000280A0000}"/>
    <cellStyle name="Accent1 33 2 2" xfId="2601" xr:uid="{00000000-0005-0000-0000-0000290A0000}"/>
    <cellStyle name="Accent1 33 3" xfId="2602" xr:uid="{00000000-0005-0000-0000-00002A0A0000}"/>
    <cellStyle name="Accent1 34" xfId="2603" xr:uid="{00000000-0005-0000-0000-00002B0A0000}"/>
    <cellStyle name="Accent1 34 2" xfId="2604" xr:uid="{00000000-0005-0000-0000-00002C0A0000}"/>
    <cellStyle name="Accent1 34 2 2" xfId="2605" xr:uid="{00000000-0005-0000-0000-00002D0A0000}"/>
    <cellStyle name="Accent1 34 3" xfId="2606" xr:uid="{00000000-0005-0000-0000-00002E0A0000}"/>
    <cellStyle name="Accent1 35" xfId="2607" xr:uid="{00000000-0005-0000-0000-00002F0A0000}"/>
    <cellStyle name="Accent1 35 2" xfId="2608" xr:uid="{00000000-0005-0000-0000-0000300A0000}"/>
    <cellStyle name="Accent1 35 2 2" xfId="2609" xr:uid="{00000000-0005-0000-0000-0000310A0000}"/>
    <cellStyle name="Accent1 35 3" xfId="2610" xr:uid="{00000000-0005-0000-0000-0000320A0000}"/>
    <cellStyle name="Accent1 36" xfId="2611" xr:uid="{00000000-0005-0000-0000-0000330A0000}"/>
    <cellStyle name="Accent1 36 2" xfId="2612" xr:uid="{00000000-0005-0000-0000-0000340A0000}"/>
    <cellStyle name="Accent1 36 2 2" xfId="2613" xr:uid="{00000000-0005-0000-0000-0000350A0000}"/>
    <cellStyle name="Accent1 36 3" xfId="2614" xr:uid="{00000000-0005-0000-0000-0000360A0000}"/>
    <cellStyle name="Accent1 37" xfId="2615" xr:uid="{00000000-0005-0000-0000-0000370A0000}"/>
    <cellStyle name="Accent1 37 2" xfId="2616" xr:uid="{00000000-0005-0000-0000-0000380A0000}"/>
    <cellStyle name="Accent1 37 2 2" xfId="2617" xr:uid="{00000000-0005-0000-0000-0000390A0000}"/>
    <cellStyle name="Accent1 37 3" xfId="2618" xr:uid="{00000000-0005-0000-0000-00003A0A0000}"/>
    <cellStyle name="Accent1 38" xfId="2619" xr:uid="{00000000-0005-0000-0000-00003B0A0000}"/>
    <cellStyle name="Accent1 38 2" xfId="2620" xr:uid="{00000000-0005-0000-0000-00003C0A0000}"/>
    <cellStyle name="Accent1 38 2 2" xfId="2621" xr:uid="{00000000-0005-0000-0000-00003D0A0000}"/>
    <cellStyle name="Accent1 38 3" xfId="2622" xr:uid="{00000000-0005-0000-0000-00003E0A0000}"/>
    <cellStyle name="Accent1 39" xfId="2623" xr:uid="{00000000-0005-0000-0000-00003F0A0000}"/>
    <cellStyle name="Accent1 39 2" xfId="2624" xr:uid="{00000000-0005-0000-0000-0000400A0000}"/>
    <cellStyle name="Accent1 39 2 2" xfId="2625" xr:uid="{00000000-0005-0000-0000-0000410A0000}"/>
    <cellStyle name="Accent1 39 3" xfId="2626" xr:uid="{00000000-0005-0000-0000-0000420A0000}"/>
    <cellStyle name="Accent1 4" xfId="2627" xr:uid="{00000000-0005-0000-0000-0000430A0000}"/>
    <cellStyle name="Accent1 4 2" xfId="2628" xr:uid="{00000000-0005-0000-0000-0000440A0000}"/>
    <cellStyle name="Accent1 4 2 2" xfId="2629" xr:uid="{00000000-0005-0000-0000-0000450A0000}"/>
    <cellStyle name="Accent1 4 2 2 2" xfId="2630" xr:uid="{00000000-0005-0000-0000-0000460A0000}"/>
    <cellStyle name="Accent1 4 2 3" xfId="2631" xr:uid="{00000000-0005-0000-0000-0000470A0000}"/>
    <cellStyle name="Accent1 4 2 3 2" xfId="2632" xr:uid="{00000000-0005-0000-0000-0000480A0000}"/>
    <cellStyle name="Accent1 4 2 3 2 2" xfId="2633" xr:uid="{00000000-0005-0000-0000-0000490A0000}"/>
    <cellStyle name="Accent1 4 2 3 3" xfId="2634" xr:uid="{00000000-0005-0000-0000-00004A0A0000}"/>
    <cellStyle name="Accent1 4 2 4" xfId="2635" xr:uid="{00000000-0005-0000-0000-00004B0A0000}"/>
    <cellStyle name="Accent1 4 3" xfId="2636" xr:uid="{00000000-0005-0000-0000-00004C0A0000}"/>
    <cellStyle name="Accent1 4 3 2" xfId="2637" xr:uid="{00000000-0005-0000-0000-00004D0A0000}"/>
    <cellStyle name="Accent1 4 3 2 2" xfId="2638" xr:uid="{00000000-0005-0000-0000-00004E0A0000}"/>
    <cellStyle name="Accent1 4 3 3" xfId="2639" xr:uid="{00000000-0005-0000-0000-00004F0A0000}"/>
    <cellStyle name="Accent1 4 3 3 2" xfId="2640" xr:uid="{00000000-0005-0000-0000-0000500A0000}"/>
    <cellStyle name="Accent1 4 3 3 2 2" xfId="2641" xr:uid="{00000000-0005-0000-0000-0000510A0000}"/>
    <cellStyle name="Accent1 4 3 3 3" xfId="2642" xr:uid="{00000000-0005-0000-0000-0000520A0000}"/>
    <cellStyle name="Accent1 4 3 4" xfId="2643" xr:uid="{00000000-0005-0000-0000-0000530A0000}"/>
    <cellStyle name="Accent1 4 4" xfId="2644" xr:uid="{00000000-0005-0000-0000-0000540A0000}"/>
    <cellStyle name="Accent1 4 4 2" xfId="2645" xr:uid="{00000000-0005-0000-0000-0000550A0000}"/>
    <cellStyle name="Accent1 4 4 2 2" xfId="2646" xr:uid="{00000000-0005-0000-0000-0000560A0000}"/>
    <cellStyle name="Accent1 4 4 3" xfId="2647" xr:uid="{00000000-0005-0000-0000-0000570A0000}"/>
    <cellStyle name="Accent1 4 5" xfId="2648" xr:uid="{00000000-0005-0000-0000-0000580A0000}"/>
    <cellStyle name="Accent1 4 5 2" xfId="2649" xr:uid="{00000000-0005-0000-0000-0000590A0000}"/>
    <cellStyle name="Accent1 4 6" xfId="2650" xr:uid="{00000000-0005-0000-0000-00005A0A0000}"/>
    <cellStyle name="Accent1 4 6 2" xfId="2651" xr:uid="{00000000-0005-0000-0000-00005B0A0000}"/>
    <cellStyle name="Accent1 4 7" xfId="2652" xr:uid="{00000000-0005-0000-0000-00005C0A0000}"/>
    <cellStyle name="Accent1 40" xfId="2653" xr:uid="{00000000-0005-0000-0000-00005D0A0000}"/>
    <cellStyle name="Accent1 40 2" xfId="2654" xr:uid="{00000000-0005-0000-0000-00005E0A0000}"/>
    <cellStyle name="Accent1 40 2 2" xfId="2655" xr:uid="{00000000-0005-0000-0000-00005F0A0000}"/>
    <cellStyle name="Accent1 40 3" xfId="2656" xr:uid="{00000000-0005-0000-0000-0000600A0000}"/>
    <cellStyle name="Accent1 41" xfId="2657" xr:uid="{00000000-0005-0000-0000-0000610A0000}"/>
    <cellStyle name="Accent1 41 2" xfId="2658" xr:uid="{00000000-0005-0000-0000-0000620A0000}"/>
    <cellStyle name="Accent1 41 2 2" xfId="2659" xr:uid="{00000000-0005-0000-0000-0000630A0000}"/>
    <cellStyle name="Accent1 41 3" xfId="2660" xr:uid="{00000000-0005-0000-0000-0000640A0000}"/>
    <cellStyle name="Accent1 42" xfId="2661" xr:uid="{00000000-0005-0000-0000-0000650A0000}"/>
    <cellStyle name="Accent1 42 2" xfId="2662" xr:uid="{00000000-0005-0000-0000-0000660A0000}"/>
    <cellStyle name="Accent1 42 2 2" xfId="2663" xr:uid="{00000000-0005-0000-0000-0000670A0000}"/>
    <cellStyle name="Accent1 42 3" xfId="2664" xr:uid="{00000000-0005-0000-0000-0000680A0000}"/>
    <cellStyle name="Accent1 43" xfId="2665" xr:uid="{00000000-0005-0000-0000-0000690A0000}"/>
    <cellStyle name="Accent1 43 2" xfId="2666" xr:uid="{00000000-0005-0000-0000-00006A0A0000}"/>
    <cellStyle name="Accent1 43 2 2" xfId="2667" xr:uid="{00000000-0005-0000-0000-00006B0A0000}"/>
    <cellStyle name="Accent1 43 3" xfId="2668" xr:uid="{00000000-0005-0000-0000-00006C0A0000}"/>
    <cellStyle name="Accent1 44" xfId="2669" xr:uid="{00000000-0005-0000-0000-00006D0A0000}"/>
    <cellStyle name="Accent1 44 2" xfId="2670" xr:uid="{00000000-0005-0000-0000-00006E0A0000}"/>
    <cellStyle name="Accent1 44 2 2" xfId="2671" xr:uid="{00000000-0005-0000-0000-00006F0A0000}"/>
    <cellStyle name="Accent1 44 3" xfId="2672" xr:uid="{00000000-0005-0000-0000-0000700A0000}"/>
    <cellStyle name="Accent1 45" xfId="2673" xr:uid="{00000000-0005-0000-0000-0000710A0000}"/>
    <cellStyle name="Accent1 45 2" xfId="2674" xr:uid="{00000000-0005-0000-0000-0000720A0000}"/>
    <cellStyle name="Accent1 45 2 2" xfId="2675" xr:uid="{00000000-0005-0000-0000-0000730A0000}"/>
    <cellStyle name="Accent1 45 3" xfId="2676" xr:uid="{00000000-0005-0000-0000-0000740A0000}"/>
    <cellStyle name="Accent1 46" xfId="2677" xr:uid="{00000000-0005-0000-0000-0000750A0000}"/>
    <cellStyle name="Accent1 46 2" xfId="2678" xr:uid="{00000000-0005-0000-0000-0000760A0000}"/>
    <cellStyle name="Accent1 46 2 2" xfId="2679" xr:uid="{00000000-0005-0000-0000-0000770A0000}"/>
    <cellStyle name="Accent1 46 3" xfId="2680" xr:uid="{00000000-0005-0000-0000-0000780A0000}"/>
    <cellStyle name="Accent1 47" xfId="2681" xr:uid="{00000000-0005-0000-0000-0000790A0000}"/>
    <cellStyle name="Accent1 47 2" xfId="2682" xr:uid="{00000000-0005-0000-0000-00007A0A0000}"/>
    <cellStyle name="Accent1 47 2 2" xfId="2683" xr:uid="{00000000-0005-0000-0000-00007B0A0000}"/>
    <cellStyle name="Accent1 47 3" xfId="2684" xr:uid="{00000000-0005-0000-0000-00007C0A0000}"/>
    <cellStyle name="Accent1 48" xfId="2685" xr:uid="{00000000-0005-0000-0000-00007D0A0000}"/>
    <cellStyle name="Accent1 48 2" xfId="2686" xr:uid="{00000000-0005-0000-0000-00007E0A0000}"/>
    <cellStyle name="Accent1 48 2 2" xfId="2687" xr:uid="{00000000-0005-0000-0000-00007F0A0000}"/>
    <cellStyle name="Accent1 48 3" xfId="2688" xr:uid="{00000000-0005-0000-0000-0000800A0000}"/>
    <cellStyle name="Accent1 48 3 2" xfId="2689" xr:uid="{00000000-0005-0000-0000-0000810A0000}"/>
    <cellStyle name="Accent1 48 3 2 2" xfId="2690" xr:uid="{00000000-0005-0000-0000-0000820A0000}"/>
    <cellStyle name="Accent1 48 3 3" xfId="2691" xr:uid="{00000000-0005-0000-0000-0000830A0000}"/>
    <cellStyle name="Accent1 48 4" xfId="2692" xr:uid="{00000000-0005-0000-0000-0000840A0000}"/>
    <cellStyle name="Accent1 49" xfId="2693" xr:uid="{00000000-0005-0000-0000-0000850A0000}"/>
    <cellStyle name="Accent1 49 2" xfId="2694" xr:uid="{00000000-0005-0000-0000-0000860A0000}"/>
    <cellStyle name="Accent1 49 2 2" xfId="2695" xr:uid="{00000000-0005-0000-0000-0000870A0000}"/>
    <cellStyle name="Accent1 49 3" xfId="2696" xr:uid="{00000000-0005-0000-0000-0000880A0000}"/>
    <cellStyle name="Accent1 49 3 2" xfId="2697" xr:uid="{00000000-0005-0000-0000-0000890A0000}"/>
    <cellStyle name="Accent1 49 3 2 2" xfId="2698" xr:uid="{00000000-0005-0000-0000-00008A0A0000}"/>
    <cellStyle name="Accent1 49 3 3" xfId="2699" xr:uid="{00000000-0005-0000-0000-00008B0A0000}"/>
    <cellStyle name="Accent1 49 4" xfId="2700" xr:uid="{00000000-0005-0000-0000-00008C0A0000}"/>
    <cellStyle name="Accent1 5" xfId="2701" xr:uid="{00000000-0005-0000-0000-00008D0A0000}"/>
    <cellStyle name="Accent1 5 2" xfId="2702" xr:uid="{00000000-0005-0000-0000-00008E0A0000}"/>
    <cellStyle name="Accent1 5 2 2" xfId="2703" xr:uid="{00000000-0005-0000-0000-00008F0A0000}"/>
    <cellStyle name="Accent1 5 2 2 2" xfId="2704" xr:uid="{00000000-0005-0000-0000-0000900A0000}"/>
    <cellStyle name="Accent1 5 2 3" xfId="2705" xr:uid="{00000000-0005-0000-0000-0000910A0000}"/>
    <cellStyle name="Accent1 5 2 3 2" xfId="2706" xr:uid="{00000000-0005-0000-0000-0000920A0000}"/>
    <cellStyle name="Accent1 5 2 3 2 2" xfId="2707" xr:uid="{00000000-0005-0000-0000-0000930A0000}"/>
    <cellStyle name="Accent1 5 2 3 3" xfId="2708" xr:uid="{00000000-0005-0000-0000-0000940A0000}"/>
    <cellStyle name="Accent1 5 2 4" xfId="2709" xr:uid="{00000000-0005-0000-0000-0000950A0000}"/>
    <cellStyle name="Accent1 5 3" xfId="2710" xr:uid="{00000000-0005-0000-0000-0000960A0000}"/>
    <cellStyle name="Accent1 5 3 2" xfId="2711" xr:uid="{00000000-0005-0000-0000-0000970A0000}"/>
    <cellStyle name="Accent1 5 3 2 2" xfId="2712" xr:uid="{00000000-0005-0000-0000-0000980A0000}"/>
    <cellStyle name="Accent1 5 3 3" xfId="2713" xr:uid="{00000000-0005-0000-0000-0000990A0000}"/>
    <cellStyle name="Accent1 5 3 3 2" xfId="2714" xr:uid="{00000000-0005-0000-0000-00009A0A0000}"/>
    <cellStyle name="Accent1 5 3 3 2 2" xfId="2715" xr:uid="{00000000-0005-0000-0000-00009B0A0000}"/>
    <cellStyle name="Accent1 5 3 3 3" xfId="2716" xr:uid="{00000000-0005-0000-0000-00009C0A0000}"/>
    <cellStyle name="Accent1 5 3 4" xfId="2717" xr:uid="{00000000-0005-0000-0000-00009D0A0000}"/>
    <cellStyle name="Accent1 5 4" xfId="2718" xr:uid="{00000000-0005-0000-0000-00009E0A0000}"/>
    <cellStyle name="Accent1 5 4 2" xfId="2719" xr:uid="{00000000-0005-0000-0000-00009F0A0000}"/>
    <cellStyle name="Accent1 5 5" xfId="2720" xr:uid="{00000000-0005-0000-0000-0000A00A0000}"/>
    <cellStyle name="Accent1 5 5 2" xfId="2721" xr:uid="{00000000-0005-0000-0000-0000A10A0000}"/>
    <cellStyle name="Accent1 5 6" xfId="2722" xr:uid="{00000000-0005-0000-0000-0000A20A0000}"/>
    <cellStyle name="Accent1 50" xfId="2723" xr:uid="{00000000-0005-0000-0000-0000A30A0000}"/>
    <cellStyle name="Accent1 50 2" xfId="2724" xr:uid="{00000000-0005-0000-0000-0000A40A0000}"/>
    <cellStyle name="Accent1 50 2 2" xfId="2725" xr:uid="{00000000-0005-0000-0000-0000A50A0000}"/>
    <cellStyle name="Accent1 50 3" xfId="2726" xr:uid="{00000000-0005-0000-0000-0000A60A0000}"/>
    <cellStyle name="Accent1 50 3 2" xfId="2727" xr:uid="{00000000-0005-0000-0000-0000A70A0000}"/>
    <cellStyle name="Accent1 50 3 2 2" xfId="2728" xr:uid="{00000000-0005-0000-0000-0000A80A0000}"/>
    <cellStyle name="Accent1 50 3 3" xfId="2729" xr:uid="{00000000-0005-0000-0000-0000A90A0000}"/>
    <cellStyle name="Accent1 50 4" xfId="2730" xr:uid="{00000000-0005-0000-0000-0000AA0A0000}"/>
    <cellStyle name="Accent1 51" xfId="2731" xr:uid="{00000000-0005-0000-0000-0000AB0A0000}"/>
    <cellStyle name="Accent1 51 2" xfId="2732" xr:uid="{00000000-0005-0000-0000-0000AC0A0000}"/>
    <cellStyle name="Accent1 51 2 2" xfId="2733" xr:uid="{00000000-0005-0000-0000-0000AD0A0000}"/>
    <cellStyle name="Accent1 51 3" xfId="2734" xr:uid="{00000000-0005-0000-0000-0000AE0A0000}"/>
    <cellStyle name="Accent1 51 3 2" xfId="2735" xr:uid="{00000000-0005-0000-0000-0000AF0A0000}"/>
    <cellStyle name="Accent1 51 3 2 2" xfId="2736" xr:uid="{00000000-0005-0000-0000-0000B00A0000}"/>
    <cellStyle name="Accent1 51 3 3" xfId="2737" xr:uid="{00000000-0005-0000-0000-0000B10A0000}"/>
    <cellStyle name="Accent1 51 4" xfId="2738" xr:uid="{00000000-0005-0000-0000-0000B20A0000}"/>
    <cellStyle name="Accent1 52" xfId="2739" xr:uid="{00000000-0005-0000-0000-0000B30A0000}"/>
    <cellStyle name="Accent1 52 2" xfId="2740" xr:uid="{00000000-0005-0000-0000-0000B40A0000}"/>
    <cellStyle name="Accent1 52 2 2" xfId="2741" xr:uid="{00000000-0005-0000-0000-0000B50A0000}"/>
    <cellStyle name="Accent1 52 3" xfId="2742" xr:uid="{00000000-0005-0000-0000-0000B60A0000}"/>
    <cellStyle name="Accent1 53" xfId="2743" xr:uid="{00000000-0005-0000-0000-0000B70A0000}"/>
    <cellStyle name="Accent1 53 2" xfId="2744" xr:uid="{00000000-0005-0000-0000-0000B80A0000}"/>
    <cellStyle name="Accent1 53 2 2" xfId="2745" xr:uid="{00000000-0005-0000-0000-0000B90A0000}"/>
    <cellStyle name="Accent1 53 3" xfId="2746" xr:uid="{00000000-0005-0000-0000-0000BA0A0000}"/>
    <cellStyle name="Accent1 54" xfId="2747" xr:uid="{00000000-0005-0000-0000-0000BB0A0000}"/>
    <cellStyle name="Accent1 54 2" xfId="2748" xr:uid="{00000000-0005-0000-0000-0000BC0A0000}"/>
    <cellStyle name="Accent1 54 2 2" xfId="2749" xr:uid="{00000000-0005-0000-0000-0000BD0A0000}"/>
    <cellStyle name="Accent1 54 3" xfId="2750" xr:uid="{00000000-0005-0000-0000-0000BE0A0000}"/>
    <cellStyle name="Accent1 55" xfId="2751" xr:uid="{00000000-0005-0000-0000-0000BF0A0000}"/>
    <cellStyle name="Accent1 55 2" xfId="2752" xr:uid="{00000000-0005-0000-0000-0000C00A0000}"/>
    <cellStyle name="Accent1 55 2 2" xfId="2753" xr:uid="{00000000-0005-0000-0000-0000C10A0000}"/>
    <cellStyle name="Accent1 55 3" xfId="2754" xr:uid="{00000000-0005-0000-0000-0000C20A0000}"/>
    <cellStyle name="Accent1 56" xfId="2755" xr:uid="{00000000-0005-0000-0000-0000C30A0000}"/>
    <cellStyle name="Accent1 56 2" xfId="2756" xr:uid="{00000000-0005-0000-0000-0000C40A0000}"/>
    <cellStyle name="Accent1 56 2 2" xfId="2757" xr:uid="{00000000-0005-0000-0000-0000C50A0000}"/>
    <cellStyle name="Accent1 56 3" xfId="2758" xr:uid="{00000000-0005-0000-0000-0000C60A0000}"/>
    <cellStyle name="Accent1 57" xfId="2759" xr:uid="{00000000-0005-0000-0000-0000C70A0000}"/>
    <cellStyle name="Accent1 57 2" xfId="2760" xr:uid="{00000000-0005-0000-0000-0000C80A0000}"/>
    <cellStyle name="Accent1 57 2 2" xfId="2761" xr:uid="{00000000-0005-0000-0000-0000C90A0000}"/>
    <cellStyle name="Accent1 57 3" xfId="2762" xr:uid="{00000000-0005-0000-0000-0000CA0A0000}"/>
    <cellStyle name="Accent1 58" xfId="2763" xr:uid="{00000000-0005-0000-0000-0000CB0A0000}"/>
    <cellStyle name="Accent1 58 2" xfId="2764" xr:uid="{00000000-0005-0000-0000-0000CC0A0000}"/>
    <cellStyle name="Accent1 58 2 2" xfId="2765" xr:uid="{00000000-0005-0000-0000-0000CD0A0000}"/>
    <cellStyle name="Accent1 58 3" xfId="2766" xr:uid="{00000000-0005-0000-0000-0000CE0A0000}"/>
    <cellStyle name="Accent1 58 3 2" xfId="2767" xr:uid="{00000000-0005-0000-0000-0000CF0A0000}"/>
    <cellStyle name="Accent1 58 3 2 2" xfId="2768" xr:uid="{00000000-0005-0000-0000-0000D00A0000}"/>
    <cellStyle name="Accent1 58 3 3" xfId="2769" xr:uid="{00000000-0005-0000-0000-0000D10A0000}"/>
    <cellStyle name="Accent1 58 4" xfId="2770" xr:uid="{00000000-0005-0000-0000-0000D20A0000}"/>
    <cellStyle name="Accent1 59" xfId="2771" xr:uid="{00000000-0005-0000-0000-0000D30A0000}"/>
    <cellStyle name="Accent1 59 2" xfId="2772" xr:uid="{00000000-0005-0000-0000-0000D40A0000}"/>
    <cellStyle name="Accent1 59 2 2" xfId="2773" xr:uid="{00000000-0005-0000-0000-0000D50A0000}"/>
    <cellStyle name="Accent1 59 3" xfId="2774" xr:uid="{00000000-0005-0000-0000-0000D60A0000}"/>
    <cellStyle name="Accent1 59 3 2" xfId="2775" xr:uid="{00000000-0005-0000-0000-0000D70A0000}"/>
    <cellStyle name="Accent1 59 3 2 2" xfId="2776" xr:uid="{00000000-0005-0000-0000-0000D80A0000}"/>
    <cellStyle name="Accent1 59 3 3" xfId="2777" xr:uid="{00000000-0005-0000-0000-0000D90A0000}"/>
    <cellStyle name="Accent1 59 4" xfId="2778" xr:uid="{00000000-0005-0000-0000-0000DA0A0000}"/>
    <cellStyle name="Accent1 6" xfId="2779" xr:uid="{00000000-0005-0000-0000-0000DB0A0000}"/>
    <cellStyle name="Accent1 6 2" xfId="2780" xr:uid="{00000000-0005-0000-0000-0000DC0A0000}"/>
    <cellStyle name="Accent1 6 2 2" xfId="2781" xr:uid="{00000000-0005-0000-0000-0000DD0A0000}"/>
    <cellStyle name="Accent1 6 2 2 2" xfId="2782" xr:uid="{00000000-0005-0000-0000-0000DE0A0000}"/>
    <cellStyle name="Accent1 6 2 3" xfId="2783" xr:uid="{00000000-0005-0000-0000-0000DF0A0000}"/>
    <cellStyle name="Accent1 6 2 3 2" xfId="2784" xr:uid="{00000000-0005-0000-0000-0000E00A0000}"/>
    <cellStyle name="Accent1 6 2 3 2 2" xfId="2785" xr:uid="{00000000-0005-0000-0000-0000E10A0000}"/>
    <cellStyle name="Accent1 6 2 3 3" xfId="2786" xr:uid="{00000000-0005-0000-0000-0000E20A0000}"/>
    <cellStyle name="Accent1 6 2 4" xfId="2787" xr:uid="{00000000-0005-0000-0000-0000E30A0000}"/>
    <cellStyle name="Accent1 6 3" xfId="2788" xr:uid="{00000000-0005-0000-0000-0000E40A0000}"/>
    <cellStyle name="Accent1 6 3 2" xfId="2789" xr:uid="{00000000-0005-0000-0000-0000E50A0000}"/>
    <cellStyle name="Accent1 6 4" xfId="2790" xr:uid="{00000000-0005-0000-0000-0000E60A0000}"/>
    <cellStyle name="Accent1 60" xfId="2791" xr:uid="{00000000-0005-0000-0000-0000E70A0000}"/>
    <cellStyle name="Accent1 60 2" xfId="2792" xr:uid="{00000000-0005-0000-0000-0000E80A0000}"/>
    <cellStyle name="Accent1 60 2 2" xfId="2793" xr:uid="{00000000-0005-0000-0000-0000E90A0000}"/>
    <cellStyle name="Accent1 60 3" xfId="2794" xr:uid="{00000000-0005-0000-0000-0000EA0A0000}"/>
    <cellStyle name="Accent1 60 3 2" xfId="2795" xr:uid="{00000000-0005-0000-0000-0000EB0A0000}"/>
    <cellStyle name="Accent1 60 3 2 2" xfId="2796" xr:uid="{00000000-0005-0000-0000-0000EC0A0000}"/>
    <cellStyle name="Accent1 60 3 3" xfId="2797" xr:uid="{00000000-0005-0000-0000-0000ED0A0000}"/>
    <cellStyle name="Accent1 60 4" xfId="2798" xr:uid="{00000000-0005-0000-0000-0000EE0A0000}"/>
    <cellStyle name="Accent1 61" xfId="2799" xr:uid="{00000000-0005-0000-0000-0000EF0A0000}"/>
    <cellStyle name="Accent1 61 2" xfId="2800" xr:uid="{00000000-0005-0000-0000-0000F00A0000}"/>
    <cellStyle name="Accent1 61 2 2" xfId="2801" xr:uid="{00000000-0005-0000-0000-0000F10A0000}"/>
    <cellStyle name="Accent1 61 3" xfId="2802" xr:uid="{00000000-0005-0000-0000-0000F20A0000}"/>
    <cellStyle name="Accent1 61 3 2" xfId="2803" xr:uid="{00000000-0005-0000-0000-0000F30A0000}"/>
    <cellStyle name="Accent1 61 3 2 2" xfId="2804" xr:uid="{00000000-0005-0000-0000-0000F40A0000}"/>
    <cellStyle name="Accent1 61 3 3" xfId="2805" xr:uid="{00000000-0005-0000-0000-0000F50A0000}"/>
    <cellStyle name="Accent1 61 4" xfId="2806" xr:uid="{00000000-0005-0000-0000-0000F60A0000}"/>
    <cellStyle name="Accent1 62" xfId="2807" xr:uid="{00000000-0005-0000-0000-0000F70A0000}"/>
    <cellStyle name="Accent1 62 2" xfId="2808" xr:uid="{00000000-0005-0000-0000-0000F80A0000}"/>
    <cellStyle name="Accent1 62 2 2" xfId="2809" xr:uid="{00000000-0005-0000-0000-0000F90A0000}"/>
    <cellStyle name="Accent1 62 3" xfId="2810" xr:uid="{00000000-0005-0000-0000-0000FA0A0000}"/>
    <cellStyle name="Accent1 62 3 2" xfId="2811" xr:uid="{00000000-0005-0000-0000-0000FB0A0000}"/>
    <cellStyle name="Accent1 62 3 2 2" xfId="2812" xr:uid="{00000000-0005-0000-0000-0000FC0A0000}"/>
    <cellStyle name="Accent1 62 3 3" xfId="2813" xr:uid="{00000000-0005-0000-0000-0000FD0A0000}"/>
    <cellStyle name="Accent1 62 4" xfId="2814" xr:uid="{00000000-0005-0000-0000-0000FE0A0000}"/>
    <cellStyle name="Accent1 63" xfId="2815" xr:uid="{00000000-0005-0000-0000-0000FF0A0000}"/>
    <cellStyle name="Accent1 63 2" xfId="2816" xr:uid="{00000000-0005-0000-0000-0000000B0000}"/>
    <cellStyle name="Accent1 63 2 2" xfId="2817" xr:uid="{00000000-0005-0000-0000-0000010B0000}"/>
    <cellStyle name="Accent1 63 3" xfId="2818" xr:uid="{00000000-0005-0000-0000-0000020B0000}"/>
    <cellStyle name="Accent1 63 3 2" xfId="2819" xr:uid="{00000000-0005-0000-0000-0000030B0000}"/>
    <cellStyle name="Accent1 63 3 2 2" xfId="2820" xr:uid="{00000000-0005-0000-0000-0000040B0000}"/>
    <cellStyle name="Accent1 63 3 3" xfId="2821" xr:uid="{00000000-0005-0000-0000-0000050B0000}"/>
    <cellStyle name="Accent1 63 4" xfId="2822" xr:uid="{00000000-0005-0000-0000-0000060B0000}"/>
    <cellStyle name="Accent1 64" xfId="2823" xr:uid="{00000000-0005-0000-0000-0000070B0000}"/>
    <cellStyle name="Accent1 64 2" xfId="2824" xr:uid="{00000000-0005-0000-0000-0000080B0000}"/>
    <cellStyle name="Accent1 64 2 2" xfId="2825" xr:uid="{00000000-0005-0000-0000-0000090B0000}"/>
    <cellStyle name="Accent1 64 3" xfId="2826" xr:uid="{00000000-0005-0000-0000-00000A0B0000}"/>
    <cellStyle name="Accent1 64 3 2" xfId="2827" xr:uid="{00000000-0005-0000-0000-00000B0B0000}"/>
    <cellStyle name="Accent1 64 3 2 2" xfId="2828" xr:uid="{00000000-0005-0000-0000-00000C0B0000}"/>
    <cellStyle name="Accent1 64 3 3" xfId="2829" xr:uid="{00000000-0005-0000-0000-00000D0B0000}"/>
    <cellStyle name="Accent1 64 4" xfId="2830" xr:uid="{00000000-0005-0000-0000-00000E0B0000}"/>
    <cellStyle name="Accent1 65" xfId="2831" xr:uid="{00000000-0005-0000-0000-00000F0B0000}"/>
    <cellStyle name="Accent1 65 2" xfId="2832" xr:uid="{00000000-0005-0000-0000-0000100B0000}"/>
    <cellStyle name="Accent1 65 2 2" xfId="2833" xr:uid="{00000000-0005-0000-0000-0000110B0000}"/>
    <cellStyle name="Accent1 65 3" xfId="2834" xr:uid="{00000000-0005-0000-0000-0000120B0000}"/>
    <cellStyle name="Accent1 65 3 2" xfId="2835" xr:uid="{00000000-0005-0000-0000-0000130B0000}"/>
    <cellStyle name="Accent1 65 3 2 2" xfId="2836" xr:uid="{00000000-0005-0000-0000-0000140B0000}"/>
    <cellStyle name="Accent1 65 3 3" xfId="2837" xr:uid="{00000000-0005-0000-0000-0000150B0000}"/>
    <cellStyle name="Accent1 65 4" xfId="2838" xr:uid="{00000000-0005-0000-0000-0000160B0000}"/>
    <cellStyle name="Accent1 66" xfId="2839" xr:uid="{00000000-0005-0000-0000-0000170B0000}"/>
    <cellStyle name="Accent1 66 2" xfId="2840" xr:uid="{00000000-0005-0000-0000-0000180B0000}"/>
    <cellStyle name="Accent1 66 2 2" xfId="2841" xr:uid="{00000000-0005-0000-0000-0000190B0000}"/>
    <cellStyle name="Accent1 66 3" xfId="2842" xr:uid="{00000000-0005-0000-0000-00001A0B0000}"/>
    <cellStyle name="Accent1 66 3 2" xfId="2843" xr:uid="{00000000-0005-0000-0000-00001B0B0000}"/>
    <cellStyle name="Accent1 66 3 2 2" xfId="2844" xr:uid="{00000000-0005-0000-0000-00001C0B0000}"/>
    <cellStyle name="Accent1 66 3 3" xfId="2845" xr:uid="{00000000-0005-0000-0000-00001D0B0000}"/>
    <cellStyle name="Accent1 66 4" xfId="2846" xr:uid="{00000000-0005-0000-0000-00001E0B0000}"/>
    <cellStyle name="Accent1 67" xfId="2847" xr:uid="{00000000-0005-0000-0000-00001F0B0000}"/>
    <cellStyle name="Accent1 67 2" xfId="2848" xr:uid="{00000000-0005-0000-0000-0000200B0000}"/>
    <cellStyle name="Accent1 67 2 2" xfId="2849" xr:uid="{00000000-0005-0000-0000-0000210B0000}"/>
    <cellStyle name="Accent1 67 3" xfId="2850" xr:uid="{00000000-0005-0000-0000-0000220B0000}"/>
    <cellStyle name="Accent1 67 3 2" xfId="2851" xr:uid="{00000000-0005-0000-0000-0000230B0000}"/>
    <cellStyle name="Accent1 67 3 2 2" xfId="2852" xr:uid="{00000000-0005-0000-0000-0000240B0000}"/>
    <cellStyle name="Accent1 67 3 3" xfId="2853" xr:uid="{00000000-0005-0000-0000-0000250B0000}"/>
    <cellStyle name="Accent1 67 4" xfId="2854" xr:uid="{00000000-0005-0000-0000-0000260B0000}"/>
    <cellStyle name="Accent1 68" xfId="2855" xr:uid="{00000000-0005-0000-0000-0000270B0000}"/>
    <cellStyle name="Accent1 68 2" xfId="2856" xr:uid="{00000000-0005-0000-0000-0000280B0000}"/>
    <cellStyle name="Accent1 68 2 2" xfId="2857" xr:uid="{00000000-0005-0000-0000-0000290B0000}"/>
    <cellStyle name="Accent1 68 3" xfId="2858" xr:uid="{00000000-0005-0000-0000-00002A0B0000}"/>
    <cellStyle name="Accent1 68 3 2" xfId="2859" xr:uid="{00000000-0005-0000-0000-00002B0B0000}"/>
    <cellStyle name="Accent1 68 3 2 2" xfId="2860" xr:uid="{00000000-0005-0000-0000-00002C0B0000}"/>
    <cellStyle name="Accent1 68 3 3" xfId="2861" xr:uid="{00000000-0005-0000-0000-00002D0B0000}"/>
    <cellStyle name="Accent1 68 4" xfId="2862" xr:uid="{00000000-0005-0000-0000-00002E0B0000}"/>
    <cellStyle name="Accent1 69" xfId="2863" xr:uid="{00000000-0005-0000-0000-00002F0B0000}"/>
    <cellStyle name="Accent1 69 2" xfId="2864" xr:uid="{00000000-0005-0000-0000-0000300B0000}"/>
    <cellStyle name="Accent1 69 2 2" xfId="2865" xr:uid="{00000000-0005-0000-0000-0000310B0000}"/>
    <cellStyle name="Accent1 69 3" xfId="2866" xr:uid="{00000000-0005-0000-0000-0000320B0000}"/>
    <cellStyle name="Accent1 69 3 2" xfId="2867" xr:uid="{00000000-0005-0000-0000-0000330B0000}"/>
    <cellStyle name="Accent1 69 3 2 2" xfId="2868" xr:uid="{00000000-0005-0000-0000-0000340B0000}"/>
    <cellStyle name="Accent1 69 3 3" xfId="2869" xr:uid="{00000000-0005-0000-0000-0000350B0000}"/>
    <cellStyle name="Accent1 69 4" xfId="2870" xr:uid="{00000000-0005-0000-0000-0000360B0000}"/>
    <cellStyle name="Accent1 7" xfId="2871" xr:uid="{00000000-0005-0000-0000-0000370B0000}"/>
    <cellStyle name="Accent1 7 2" xfId="2872" xr:uid="{00000000-0005-0000-0000-0000380B0000}"/>
    <cellStyle name="Accent1 7 2 2" xfId="2873" xr:uid="{00000000-0005-0000-0000-0000390B0000}"/>
    <cellStyle name="Accent1 7 2 2 2" xfId="2874" xr:uid="{00000000-0005-0000-0000-00003A0B0000}"/>
    <cellStyle name="Accent1 7 2 3" xfId="2875" xr:uid="{00000000-0005-0000-0000-00003B0B0000}"/>
    <cellStyle name="Accent1 7 2 3 2" xfId="2876" xr:uid="{00000000-0005-0000-0000-00003C0B0000}"/>
    <cellStyle name="Accent1 7 2 3 2 2" xfId="2877" xr:uid="{00000000-0005-0000-0000-00003D0B0000}"/>
    <cellStyle name="Accent1 7 2 3 3" xfId="2878" xr:uid="{00000000-0005-0000-0000-00003E0B0000}"/>
    <cellStyle name="Accent1 7 2 4" xfId="2879" xr:uid="{00000000-0005-0000-0000-00003F0B0000}"/>
    <cellStyle name="Accent1 7 3" xfId="2880" xr:uid="{00000000-0005-0000-0000-0000400B0000}"/>
    <cellStyle name="Accent1 7 3 2" xfId="2881" xr:uid="{00000000-0005-0000-0000-0000410B0000}"/>
    <cellStyle name="Accent1 7 4" xfId="2882" xr:uid="{00000000-0005-0000-0000-0000420B0000}"/>
    <cellStyle name="Accent1 70" xfId="2883" xr:uid="{00000000-0005-0000-0000-0000430B0000}"/>
    <cellStyle name="Accent1 70 2" xfId="2884" xr:uid="{00000000-0005-0000-0000-0000440B0000}"/>
    <cellStyle name="Accent1 70 2 2" xfId="2885" xr:uid="{00000000-0005-0000-0000-0000450B0000}"/>
    <cellStyle name="Accent1 70 3" xfId="2886" xr:uid="{00000000-0005-0000-0000-0000460B0000}"/>
    <cellStyle name="Accent1 70 3 2" xfId="2887" xr:uid="{00000000-0005-0000-0000-0000470B0000}"/>
    <cellStyle name="Accent1 70 3 2 2" xfId="2888" xr:uid="{00000000-0005-0000-0000-0000480B0000}"/>
    <cellStyle name="Accent1 70 3 3" xfId="2889" xr:uid="{00000000-0005-0000-0000-0000490B0000}"/>
    <cellStyle name="Accent1 70 4" xfId="2890" xr:uid="{00000000-0005-0000-0000-00004A0B0000}"/>
    <cellStyle name="Accent1 71" xfId="2891" xr:uid="{00000000-0005-0000-0000-00004B0B0000}"/>
    <cellStyle name="Accent1 71 2" xfId="2892" xr:uid="{00000000-0005-0000-0000-00004C0B0000}"/>
    <cellStyle name="Accent1 71 2 2" xfId="2893" xr:uid="{00000000-0005-0000-0000-00004D0B0000}"/>
    <cellStyle name="Accent1 71 3" xfId="2894" xr:uid="{00000000-0005-0000-0000-00004E0B0000}"/>
    <cellStyle name="Accent1 71 3 2" xfId="2895" xr:uid="{00000000-0005-0000-0000-00004F0B0000}"/>
    <cellStyle name="Accent1 71 3 2 2" xfId="2896" xr:uid="{00000000-0005-0000-0000-0000500B0000}"/>
    <cellStyle name="Accent1 71 3 3" xfId="2897" xr:uid="{00000000-0005-0000-0000-0000510B0000}"/>
    <cellStyle name="Accent1 71 4" xfId="2898" xr:uid="{00000000-0005-0000-0000-0000520B0000}"/>
    <cellStyle name="Accent1 72" xfId="2899" xr:uid="{00000000-0005-0000-0000-0000530B0000}"/>
    <cellStyle name="Accent1 72 2" xfId="2900" xr:uid="{00000000-0005-0000-0000-0000540B0000}"/>
    <cellStyle name="Accent1 72 2 2" xfId="2901" xr:uid="{00000000-0005-0000-0000-0000550B0000}"/>
    <cellStyle name="Accent1 72 3" xfId="2902" xr:uid="{00000000-0005-0000-0000-0000560B0000}"/>
    <cellStyle name="Accent1 72 3 2" xfId="2903" xr:uid="{00000000-0005-0000-0000-0000570B0000}"/>
    <cellStyle name="Accent1 72 3 2 2" xfId="2904" xr:uid="{00000000-0005-0000-0000-0000580B0000}"/>
    <cellStyle name="Accent1 72 3 3" xfId="2905" xr:uid="{00000000-0005-0000-0000-0000590B0000}"/>
    <cellStyle name="Accent1 72 4" xfId="2906" xr:uid="{00000000-0005-0000-0000-00005A0B0000}"/>
    <cellStyle name="Accent1 73" xfId="2907" xr:uid="{00000000-0005-0000-0000-00005B0B0000}"/>
    <cellStyle name="Accent1 73 2" xfId="2908" xr:uid="{00000000-0005-0000-0000-00005C0B0000}"/>
    <cellStyle name="Accent1 73 2 2" xfId="2909" xr:uid="{00000000-0005-0000-0000-00005D0B0000}"/>
    <cellStyle name="Accent1 73 3" xfId="2910" xr:uid="{00000000-0005-0000-0000-00005E0B0000}"/>
    <cellStyle name="Accent1 73 3 2" xfId="2911" xr:uid="{00000000-0005-0000-0000-00005F0B0000}"/>
    <cellStyle name="Accent1 73 3 2 2" xfId="2912" xr:uid="{00000000-0005-0000-0000-0000600B0000}"/>
    <cellStyle name="Accent1 73 3 3" xfId="2913" xr:uid="{00000000-0005-0000-0000-0000610B0000}"/>
    <cellStyle name="Accent1 73 4" xfId="2914" xr:uid="{00000000-0005-0000-0000-0000620B0000}"/>
    <cellStyle name="Accent1 74" xfId="2915" xr:uid="{00000000-0005-0000-0000-0000630B0000}"/>
    <cellStyle name="Accent1 74 2" xfId="2916" xr:uid="{00000000-0005-0000-0000-0000640B0000}"/>
    <cellStyle name="Accent1 74 2 2" xfId="2917" xr:uid="{00000000-0005-0000-0000-0000650B0000}"/>
    <cellStyle name="Accent1 74 3" xfId="2918" xr:uid="{00000000-0005-0000-0000-0000660B0000}"/>
    <cellStyle name="Accent1 74 3 2" xfId="2919" xr:uid="{00000000-0005-0000-0000-0000670B0000}"/>
    <cellStyle name="Accent1 74 3 2 2" xfId="2920" xr:uid="{00000000-0005-0000-0000-0000680B0000}"/>
    <cellStyle name="Accent1 74 3 3" xfId="2921" xr:uid="{00000000-0005-0000-0000-0000690B0000}"/>
    <cellStyle name="Accent1 74 4" xfId="2922" xr:uid="{00000000-0005-0000-0000-00006A0B0000}"/>
    <cellStyle name="Accent1 75" xfId="2923" xr:uid="{00000000-0005-0000-0000-00006B0B0000}"/>
    <cellStyle name="Accent1 75 2" xfId="2924" xr:uid="{00000000-0005-0000-0000-00006C0B0000}"/>
    <cellStyle name="Accent1 75 2 2" xfId="2925" xr:uid="{00000000-0005-0000-0000-00006D0B0000}"/>
    <cellStyle name="Accent1 75 3" xfId="2926" xr:uid="{00000000-0005-0000-0000-00006E0B0000}"/>
    <cellStyle name="Accent1 75 3 2" xfId="2927" xr:uid="{00000000-0005-0000-0000-00006F0B0000}"/>
    <cellStyle name="Accent1 75 3 2 2" xfId="2928" xr:uid="{00000000-0005-0000-0000-0000700B0000}"/>
    <cellStyle name="Accent1 75 3 3" xfId="2929" xr:uid="{00000000-0005-0000-0000-0000710B0000}"/>
    <cellStyle name="Accent1 75 4" xfId="2930" xr:uid="{00000000-0005-0000-0000-0000720B0000}"/>
    <cellStyle name="Accent1 76" xfId="2931" xr:uid="{00000000-0005-0000-0000-0000730B0000}"/>
    <cellStyle name="Accent1 76 2" xfId="2932" xr:uid="{00000000-0005-0000-0000-0000740B0000}"/>
    <cellStyle name="Accent1 76 2 2" xfId="2933" xr:uid="{00000000-0005-0000-0000-0000750B0000}"/>
    <cellStyle name="Accent1 76 3" xfId="2934" xr:uid="{00000000-0005-0000-0000-0000760B0000}"/>
    <cellStyle name="Accent1 76 3 2" xfId="2935" xr:uid="{00000000-0005-0000-0000-0000770B0000}"/>
    <cellStyle name="Accent1 76 3 2 2" xfId="2936" xr:uid="{00000000-0005-0000-0000-0000780B0000}"/>
    <cellStyle name="Accent1 76 3 3" xfId="2937" xr:uid="{00000000-0005-0000-0000-0000790B0000}"/>
    <cellStyle name="Accent1 76 4" xfId="2938" xr:uid="{00000000-0005-0000-0000-00007A0B0000}"/>
    <cellStyle name="Accent1 77" xfId="2939" xr:uid="{00000000-0005-0000-0000-00007B0B0000}"/>
    <cellStyle name="Accent1 77 2" xfId="2940" xr:uid="{00000000-0005-0000-0000-00007C0B0000}"/>
    <cellStyle name="Accent1 77 2 2" xfId="2941" xr:uid="{00000000-0005-0000-0000-00007D0B0000}"/>
    <cellStyle name="Accent1 77 3" xfId="2942" xr:uid="{00000000-0005-0000-0000-00007E0B0000}"/>
    <cellStyle name="Accent1 77 3 2" xfId="2943" xr:uid="{00000000-0005-0000-0000-00007F0B0000}"/>
    <cellStyle name="Accent1 77 3 2 2" xfId="2944" xr:uid="{00000000-0005-0000-0000-0000800B0000}"/>
    <cellStyle name="Accent1 77 3 3" xfId="2945" xr:uid="{00000000-0005-0000-0000-0000810B0000}"/>
    <cellStyle name="Accent1 77 4" xfId="2946" xr:uid="{00000000-0005-0000-0000-0000820B0000}"/>
    <cellStyle name="Accent1 78" xfId="2947" xr:uid="{00000000-0005-0000-0000-0000830B0000}"/>
    <cellStyle name="Accent1 78 2" xfId="2948" xr:uid="{00000000-0005-0000-0000-0000840B0000}"/>
    <cellStyle name="Accent1 78 2 2" xfId="2949" xr:uid="{00000000-0005-0000-0000-0000850B0000}"/>
    <cellStyle name="Accent1 78 3" xfId="2950" xr:uid="{00000000-0005-0000-0000-0000860B0000}"/>
    <cellStyle name="Accent1 78 3 2" xfId="2951" xr:uid="{00000000-0005-0000-0000-0000870B0000}"/>
    <cellStyle name="Accent1 78 3 2 2" xfId="2952" xr:uid="{00000000-0005-0000-0000-0000880B0000}"/>
    <cellStyle name="Accent1 78 3 3" xfId="2953" xr:uid="{00000000-0005-0000-0000-0000890B0000}"/>
    <cellStyle name="Accent1 78 4" xfId="2954" xr:uid="{00000000-0005-0000-0000-00008A0B0000}"/>
    <cellStyle name="Accent1 79" xfId="2955" xr:uid="{00000000-0005-0000-0000-00008B0B0000}"/>
    <cellStyle name="Accent1 79 2" xfId="2956" xr:uid="{00000000-0005-0000-0000-00008C0B0000}"/>
    <cellStyle name="Accent1 79 2 2" xfId="2957" xr:uid="{00000000-0005-0000-0000-00008D0B0000}"/>
    <cellStyle name="Accent1 79 3" xfId="2958" xr:uid="{00000000-0005-0000-0000-00008E0B0000}"/>
    <cellStyle name="Accent1 79 3 2" xfId="2959" xr:uid="{00000000-0005-0000-0000-00008F0B0000}"/>
    <cellStyle name="Accent1 79 3 2 2" xfId="2960" xr:uid="{00000000-0005-0000-0000-0000900B0000}"/>
    <cellStyle name="Accent1 79 3 3" xfId="2961" xr:uid="{00000000-0005-0000-0000-0000910B0000}"/>
    <cellStyle name="Accent1 79 4" xfId="2962" xr:uid="{00000000-0005-0000-0000-0000920B0000}"/>
    <cellStyle name="Accent1 8" xfId="2963" xr:uid="{00000000-0005-0000-0000-0000930B0000}"/>
    <cellStyle name="Accent1 8 2" xfId="2964" xr:uid="{00000000-0005-0000-0000-0000940B0000}"/>
    <cellStyle name="Accent1 8 2 2" xfId="2965" xr:uid="{00000000-0005-0000-0000-0000950B0000}"/>
    <cellStyle name="Accent1 8 3" xfId="2966" xr:uid="{00000000-0005-0000-0000-0000960B0000}"/>
    <cellStyle name="Accent1 80" xfId="2967" xr:uid="{00000000-0005-0000-0000-0000970B0000}"/>
    <cellStyle name="Accent1 80 2" xfId="2968" xr:uid="{00000000-0005-0000-0000-0000980B0000}"/>
    <cellStyle name="Accent1 80 2 2" xfId="2969" xr:uid="{00000000-0005-0000-0000-0000990B0000}"/>
    <cellStyle name="Accent1 80 3" xfId="2970" xr:uid="{00000000-0005-0000-0000-00009A0B0000}"/>
    <cellStyle name="Accent1 80 3 2" xfId="2971" xr:uid="{00000000-0005-0000-0000-00009B0B0000}"/>
    <cellStyle name="Accent1 80 3 2 2" xfId="2972" xr:uid="{00000000-0005-0000-0000-00009C0B0000}"/>
    <cellStyle name="Accent1 80 3 3" xfId="2973" xr:uid="{00000000-0005-0000-0000-00009D0B0000}"/>
    <cellStyle name="Accent1 80 4" xfId="2974" xr:uid="{00000000-0005-0000-0000-00009E0B0000}"/>
    <cellStyle name="Accent1 81" xfId="2975" xr:uid="{00000000-0005-0000-0000-00009F0B0000}"/>
    <cellStyle name="Accent1 81 2" xfId="2976" xr:uid="{00000000-0005-0000-0000-0000A00B0000}"/>
    <cellStyle name="Accent1 81 2 2" xfId="2977" xr:uid="{00000000-0005-0000-0000-0000A10B0000}"/>
    <cellStyle name="Accent1 81 3" xfId="2978" xr:uid="{00000000-0005-0000-0000-0000A20B0000}"/>
    <cellStyle name="Accent1 81 3 2" xfId="2979" xr:uid="{00000000-0005-0000-0000-0000A30B0000}"/>
    <cellStyle name="Accent1 81 3 2 2" xfId="2980" xr:uid="{00000000-0005-0000-0000-0000A40B0000}"/>
    <cellStyle name="Accent1 81 3 3" xfId="2981" xr:uid="{00000000-0005-0000-0000-0000A50B0000}"/>
    <cellStyle name="Accent1 81 4" xfId="2982" xr:uid="{00000000-0005-0000-0000-0000A60B0000}"/>
    <cellStyle name="Accent1 82" xfId="2983" xr:uid="{00000000-0005-0000-0000-0000A70B0000}"/>
    <cellStyle name="Accent1 82 2" xfId="2984" xr:uid="{00000000-0005-0000-0000-0000A80B0000}"/>
    <cellStyle name="Accent1 82 2 2" xfId="2985" xr:uid="{00000000-0005-0000-0000-0000A90B0000}"/>
    <cellStyle name="Accent1 82 3" xfId="2986" xr:uid="{00000000-0005-0000-0000-0000AA0B0000}"/>
    <cellStyle name="Accent1 82 3 2" xfId="2987" xr:uid="{00000000-0005-0000-0000-0000AB0B0000}"/>
    <cellStyle name="Accent1 82 3 2 2" xfId="2988" xr:uid="{00000000-0005-0000-0000-0000AC0B0000}"/>
    <cellStyle name="Accent1 82 3 3" xfId="2989" xr:uid="{00000000-0005-0000-0000-0000AD0B0000}"/>
    <cellStyle name="Accent1 82 4" xfId="2990" xr:uid="{00000000-0005-0000-0000-0000AE0B0000}"/>
    <cellStyle name="Accent1 83" xfId="2991" xr:uid="{00000000-0005-0000-0000-0000AF0B0000}"/>
    <cellStyle name="Accent1 83 2" xfId="2992" xr:uid="{00000000-0005-0000-0000-0000B00B0000}"/>
    <cellStyle name="Accent1 83 2 2" xfId="2993" xr:uid="{00000000-0005-0000-0000-0000B10B0000}"/>
    <cellStyle name="Accent1 83 3" xfId="2994" xr:uid="{00000000-0005-0000-0000-0000B20B0000}"/>
    <cellStyle name="Accent1 83 3 2" xfId="2995" xr:uid="{00000000-0005-0000-0000-0000B30B0000}"/>
    <cellStyle name="Accent1 83 3 2 2" xfId="2996" xr:uid="{00000000-0005-0000-0000-0000B40B0000}"/>
    <cellStyle name="Accent1 83 3 3" xfId="2997" xr:uid="{00000000-0005-0000-0000-0000B50B0000}"/>
    <cellStyle name="Accent1 83 4" xfId="2998" xr:uid="{00000000-0005-0000-0000-0000B60B0000}"/>
    <cellStyle name="Accent1 84" xfId="2999" xr:uid="{00000000-0005-0000-0000-0000B70B0000}"/>
    <cellStyle name="Accent1 84 2" xfId="3000" xr:uid="{00000000-0005-0000-0000-0000B80B0000}"/>
    <cellStyle name="Accent1 84 2 2" xfId="3001" xr:uid="{00000000-0005-0000-0000-0000B90B0000}"/>
    <cellStyle name="Accent1 84 3" xfId="3002" xr:uid="{00000000-0005-0000-0000-0000BA0B0000}"/>
    <cellStyle name="Accent1 85" xfId="3003" xr:uid="{00000000-0005-0000-0000-0000BB0B0000}"/>
    <cellStyle name="Accent1 85 2" xfId="3004" xr:uid="{00000000-0005-0000-0000-0000BC0B0000}"/>
    <cellStyle name="Accent1 85 2 2" xfId="3005" xr:uid="{00000000-0005-0000-0000-0000BD0B0000}"/>
    <cellStyle name="Accent1 85 3" xfId="3006" xr:uid="{00000000-0005-0000-0000-0000BE0B0000}"/>
    <cellStyle name="Accent1 86" xfId="3007" xr:uid="{00000000-0005-0000-0000-0000BF0B0000}"/>
    <cellStyle name="Accent1 86 2" xfId="3008" xr:uid="{00000000-0005-0000-0000-0000C00B0000}"/>
    <cellStyle name="Accent1 86 2 2" xfId="3009" xr:uid="{00000000-0005-0000-0000-0000C10B0000}"/>
    <cellStyle name="Accent1 86 3" xfId="3010" xr:uid="{00000000-0005-0000-0000-0000C20B0000}"/>
    <cellStyle name="Accent1 87" xfId="3011" xr:uid="{00000000-0005-0000-0000-0000C30B0000}"/>
    <cellStyle name="Accent1 87 2" xfId="3012" xr:uid="{00000000-0005-0000-0000-0000C40B0000}"/>
    <cellStyle name="Accent1 87 2 2" xfId="3013" xr:uid="{00000000-0005-0000-0000-0000C50B0000}"/>
    <cellStyle name="Accent1 87 3" xfId="3014" xr:uid="{00000000-0005-0000-0000-0000C60B0000}"/>
    <cellStyle name="Accent1 88" xfId="3015" xr:uid="{00000000-0005-0000-0000-0000C70B0000}"/>
    <cellStyle name="Accent1 88 2" xfId="3016" xr:uid="{00000000-0005-0000-0000-0000C80B0000}"/>
    <cellStyle name="Accent1 88 2 2" xfId="3017" xr:uid="{00000000-0005-0000-0000-0000C90B0000}"/>
    <cellStyle name="Accent1 88 3" xfId="3018" xr:uid="{00000000-0005-0000-0000-0000CA0B0000}"/>
    <cellStyle name="Accent1 89" xfId="3019" xr:uid="{00000000-0005-0000-0000-0000CB0B0000}"/>
    <cellStyle name="Accent1 89 2" xfId="3020" xr:uid="{00000000-0005-0000-0000-0000CC0B0000}"/>
    <cellStyle name="Accent1 89 2 2" xfId="3021" xr:uid="{00000000-0005-0000-0000-0000CD0B0000}"/>
    <cellStyle name="Accent1 89 3" xfId="3022" xr:uid="{00000000-0005-0000-0000-0000CE0B0000}"/>
    <cellStyle name="Accent1 9" xfId="3023" xr:uid="{00000000-0005-0000-0000-0000CF0B0000}"/>
    <cellStyle name="Accent1 9 2" xfId="3024" xr:uid="{00000000-0005-0000-0000-0000D00B0000}"/>
    <cellStyle name="Accent1 9 2 2" xfId="3025" xr:uid="{00000000-0005-0000-0000-0000D10B0000}"/>
    <cellStyle name="Accent1 9 3" xfId="3026" xr:uid="{00000000-0005-0000-0000-0000D20B0000}"/>
    <cellStyle name="Accent1 90" xfId="3027" xr:uid="{00000000-0005-0000-0000-0000D30B0000}"/>
    <cellStyle name="Accent1 90 2" xfId="3028" xr:uid="{00000000-0005-0000-0000-0000D40B0000}"/>
    <cellStyle name="Accent1 90 2 2" xfId="3029" xr:uid="{00000000-0005-0000-0000-0000D50B0000}"/>
    <cellStyle name="Accent1 90 3" xfId="3030" xr:uid="{00000000-0005-0000-0000-0000D60B0000}"/>
    <cellStyle name="Accent1 91" xfId="3031" xr:uid="{00000000-0005-0000-0000-0000D70B0000}"/>
    <cellStyle name="Accent1 91 2" xfId="3032" xr:uid="{00000000-0005-0000-0000-0000D80B0000}"/>
    <cellStyle name="Accent1 91 2 2" xfId="3033" xr:uid="{00000000-0005-0000-0000-0000D90B0000}"/>
    <cellStyle name="Accent1 91 3" xfId="3034" xr:uid="{00000000-0005-0000-0000-0000DA0B0000}"/>
    <cellStyle name="Accent1 92" xfId="3035" xr:uid="{00000000-0005-0000-0000-0000DB0B0000}"/>
    <cellStyle name="Accent1 92 2" xfId="3036" xr:uid="{00000000-0005-0000-0000-0000DC0B0000}"/>
    <cellStyle name="Accent1 92 2 2" xfId="3037" xr:uid="{00000000-0005-0000-0000-0000DD0B0000}"/>
    <cellStyle name="Accent1 92 3" xfId="3038" xr:uid="{00000000-0005-0000-0000-0000DE0B0000}"/>
    <cellStyle name="Accent1 93" xfId="3039" xr:uid="{00000000-0005-0000-0000-0000DF0B0000}"/>
    <cellStyle name="Accent1 93 2" xfId="3040" xr:uid="{00000000-0005-0000-0000-0000E00B0000}"/>
    <cellStyle name="Accent1 93 2 2" xfId="3041" xr:uid="{00000000-0005-0000-0000-0000E10B0000}"/>
    <cellStyle name="Accent1 93 3" xfId="3042" xr:uid="{00000000-0005-0000-0000-0000E20B0000}"/>
    <cellStyle name="Accent1 94" xfId="3043" xr:uid="{00000000-0005-0000-0000-0000E30B0000}"/>
    <cellStyle name="Accent1 94 2" xfId="3044" xr:uid="{00000000-0005-0000-0000-0000E40B0000}"/>
    <cellStyle name="Accent1 94 2 2" xfId="3045" xr:uid="{00000000-0005-0000-0000-0000E50B0000}"/>
    <cellStyle name="Accent1 94 3" xfId="3046" xr:uid="{00000000-0005-0000-0000-0000E60B0000}"/>
    <cellStyle name="Accent1 95" xfId="3047" xr:uid="{00000000-0005-0000-0000-0000E70B0000}"/>
    <cellStyle name="Accent1 95 2" xfId="3048" xr:uid="{00000000-0005-0000-0000-0000E80B0000}"/>
    <cellStyle name="Accent1 95 2 2" xfId="3049" xr:uid="{00000000-0005-0000-0000-0000E90B0000}"/>
    <cellStyle name="Accent1 95 3" xfId="3050" xr:uid="{00000000-0005-0000-0000-0000EA0B0000}"/>
    <cellStyle name="Accent1 96" xfId="3051" xr:uid="{00000000-0005-0000-0000-0000EB0B0000}"/>
    <cellStyle name="Accent1 96 2" xfId="3052" xr:uid="{00000000-0005-0000-0000-0000EC0B0000}"/>
    <cellStyle name="Accent1 96 2 2" xfId="3053" xr:uid="{00000000-0005-0000-0000-0000ED0B0000}"/>
    <cellStyle name="Accent1 96 3" xfId="3054" xr:uid="{00000000-0005-0000-0000-0000EE0B0000}"/>
    <cellStyle name="Accent1 97" xfId="3055" xr:uid="{00000000-0005-0000-0000-0000EF0B0000}"/>
    <cellStyle name="Accent1 97 2" xfId="3056" xr:uid="{00000000-0005-0000-0000-0000F00B0000}"/>
    <cellStyle name="Accent1 97 2 2" xfId="3057" xr:uid="{00000000-0005-0000-0000-0000F10B0000}"/>
    <cellStyle name="Accent1 97 3" xfId="3058" xr:uid="{00000000-0005-0000-0000-0000F20B0000}"/>
    <cellStyle name="Accent1 98" xfId="3059" xr:uid="{00000000-0005-0000-0000-0000F30B0000}"/>
    <cellStyle name="Accent1 98 2" xfId="3060" xr:uid="{00000000-0005-0000-0000-0000F40B0000}"/>
    <cellStyle name="Accent1 98 2 2" xfId="3061" xr:uid="{00000000-0005-0000-0000-0000F50B0000}"/>
    <cellStyle name="Accent1 98 3" xfId="3062" xr:uid="{00000000-0005-0000-0000-0000F60B0000}"/>
    <cellStyle name="Accent1 99" xfId="3063" xr:uid="{00000000-0005-0000-0000-0000F70B0000}"/>
    <cellStyle name="Accent1 99 2" xfId="3064" xr:uid="{00000000-0005-0000-0000-0000F80B0000}"/>
    <cellStyle name="Accent1 99 2 2" xfId="3065" xr:uid="{00000000-0005-0000-0000-0000F90B0000}"/>
    <cellStyle name="Accent1 99 3" xfId="3066" xr:uid="{00000000-0005-0000-0000-0000FA0B0000}"/>
    <cellStyle name="Accent2 - 20%" xfId="3067" xr:uid="{00000000-0005-0000-0000-0000FB0B0000}"/>
    <cellStyle name="Accent2 - 20% 10" xfId="3068" xr:uid="{00000000-0005-0000-0000-0000FC0B0000}"/>
    <cellStyle name="Accent2 - 20% 11" xfId="3069" xr:uid="{00000000-0005-0000-0000-0000FD0B0000}"/>
    <cellStyle name="Accent2 - 20% 2" xfId="3070" xr:uid="{00000000-0005-0000-0000-0000FE0B0000}"/>
    <cellStyle name="Accent2 - 20% 2 2" xfId="3071" xr:uid="{00000000-0005-0000-0000-0000FF0B0000}"/>
    <cellStyle name="Accent2 - 20% 2 2 2" xfId="3072" xr:uid="{00000000-0005-0000-0000-0000000C0000}"/>
    <cellStyle name="Accent2 - 20% 2 2 2 2" xfId="3073" xr:uid="{00000000-0005-0000-0000-0000010C0000}"/>
    <cellStyle name="Accent2 - 20% 2 2 3" xfId="3074" xr:uid="{00000000-0005-0000-0000-0000020C0000}"/>
    <cellStyle name="Accent2 - 20% 2 3" xfId="3075" xr:uid="{00000000-0005-0000-0000-0000030C0000}"/>
    <cellStyle name="Accent2 - 20% 2 3 2" xfId="3076" xr:uid="{00000000-0005-0000-0000-0000040C0000}"/>
    <cellStyle name="Accent2 - 20% 2 3 2 2" xfId="3077" xr:uid="{00000000-0005-0000-0000-0000050C0000}"/>
    <cellStyle name="Accent2 - 20% 2 3 2 2 2" xfId="3078" xr:uid="{00000000-0005-0000-0000-0000060C0000}"/>
    <cellStyle name="Accent2 - 20% 2 3 2 3" xfId="3079" xr:uid="{00000000-0005-0000-0000-0000070C0000}"/>
    <cellStyle name="Accent2 - 20% 2 3 3" xfId="3080" xr:uid="{00000000-0005-0000-0000-0000080C0000}"/>
    <cellStyle name="Accent2 - 20% 2 3 3 2" xfId="3081" xr:uid="{00000000-0005-0000-0000-0000090C0000}"/>
    <cellStyle name="Accent2 - 20% 2 3 4" xfId="3082" xr:uid="{00000000-0005-0000-0000-00000A0C0000}"/>
    <cellStyle name="Accent2 - 20% 2 4" xfId="3083" xr:uid="{00000000-0005-0000-0000-00000B0C0000}"/>
    <cellStyle name="Accent2 - 20% 2 4 2" xfId="3084" xr:uid="{00000000-0005-0000-0000-00000C0C0000}"/>
    <cellStyle name="Accent2 - 20% 2 4 2 2" xfId="3085" xr:uid="{00000000-0005-0000-0000-00000D0C0000}"/>
    <cellStyle name="Accent2 - 20% 2 4 2 2 2" xfId="3086" xr:uid="{00000000-0005-0000-0000-00000E0C0000}"/>
    <cellStyle name="Accent2 - 20% 2 4 2 3" xfId="3087" xr:uid="{00000000-0005-0000-0000-00000F0C0000}"/>
    <cellStyle name="Accent2 - 20% 2 4 3" xfId="3088" xr:uid="{00000000-0005-0000-0000-0000100C0000}"/>
    <cellStyle name="Accent2 - 20% 2 4 3 2" xfId="3089" xr:uid="{00000000-0005-0000-0000-0000110C0000}"/>
    <cellStyle name="Accent2 - 20% 2 4 4" xfId="3090" xr:uid="{00000000-0005-0000-0000-0000120C0000}"/>
    <cellStyle name="Accent2 - 20% 2 5" xfId="3091" xr:uid="{00000000-0005-0000-0000-0000130C0000}"/>
    <cellStyle name="Accent2 - 20% 2 5 2" xfId="3092" xr:uid="{00000000-0005-0000-0000-0000140C0000}"/>
    <cellStyle name="Accent2 - 20% 2 6" xfId="3093" xr:uid="{00000000-0005-0000-0000-0000150C0000}"/>
    <cellStyle name="Accent2 - 20% 2 6 2" xfId="3094" xr:uid="{00000000-0005-0000-0000-0000160C0000}"/>
    <cellStyle name="Accent2 - 20% 2 7" xfId="3095" xr:uid="{00000000-0005-0000-0000-0000170C0000}"/>
    <cellStyle name="Accent2 - 20% 3" xfId="3096" xr:uid="{00000000-0005-0000-0000-0000180C0000}"/>
    <cellStyle name="Accent2 - 20% 3 2" xfId="3097" xr:uid="{00000000-0005-0000-0000-0000190C0000}"/>
    <cellStyle name="Accent2 - 20% 3 2 2" xfId="3098" xr:uid="{00000000-0005-0000-0000-00001A0C0000}"/>
    <cellStyle name="Accent2 - 20% 3 2 2 2" xfId="3099" xr:uid="{00000000-0005-0000-0000-00001B0C0000}"/>
    <cellStyle name="Accent2 - 20% 3 2 3" xfId="3100" xr:uid="{00000000-0005-0000-0000-00001C0C0000}"/>
    <cellStyle name="Accent2 - 20% 3 3" xfId="3101" xr:uid="{00000000-0005-0000-0000-00001D0C0000}"/>
    <cellStyle name="Accent2 - 20% 3 3 2" xfId="3102" xr:uid="{00000000-0005-0000-0000-00001E0C0000}"/>
    <cellStyle name="Accent2 - 20% 3 4" xfId="3103" xr:uid="{00000000-0005-0000-0000-00001F0C0000}"/>
    <cellStyle name="Accent2 - 20% 4" xfId="3104" xr:uid="{00000000-0005-0000-0000-0000200C0000}"/>
    <cellStyle name="Accent2 - 20% 4 2" xfId="3105" xr:uid="{00000000-0005-0000-0000-0000210C0000}"/>
    <cellStyle name="Accent2 - 20% 4 2 2" xfId="3106" xr:uid="{00000000-0005-0000-0000-0000220C0000}"/>
    <cellStyle name="Accent2 - 20% 4 3" xfId="3107" xr:uid="{00000000-0005-0000-0000-0000230C0000}"/>
    <cellStyle name="Accent2 - 20% 5" xfId="3108" xr:uid="{00000000-0005-0000-0000-0000240C0000}"/>
    <cellStyle name="Accent2 - 20% 5 2" xfId="3109" xr:uid="{00000000-0005-0000-0000-0000250C0000}"/>
    <cellStyle name="Accent2 - 20% 5 2 2" xfId="3110" xr:uid="{00000000-0005-0000-0000-0000260C0000}"/>
    <cellStyle name="Accent2 - 20% 5 3" xfId="3111" xr:uid="{00000000-0005-0000-0000-0000270C0000}"/>
    <cellStyle name="Accent2 - 20% 6" xfId="3112" xr:uid="{00000000-0005-0000-0000-0000280C0000}"/>
    <cellStyle name="Accent2 - 20% 6 2" xfId="3113" xr:uid="{00000000-0005-0000-0000-0000290C0000}"/>
    <cellStyle name="Accent2 - 20% 7" xfId="3114" xr:uid="{00000000-0005-0000-0000-00002A0C0000}"/>
    <cellStyle name="Accent2 - 20% 7 2" xfId="3115" xr:uid="{00000000-0005-0000-0000-00002B0C0000}"/>
    <cellStyle name="Accent2 - 20% 8" xfId="3116" xr:uid="{00000000-0005-0000-0000-00002C0C0000}"/>
    <cellStyle name="Accent2 - 20% 8 2" xfId="3117" xr:uid="{00000000-0005-0000-0000-00002D0C0000}"/>
    <cellStyle name="Accent2 - 20% 9" xfId="3118" xr:uid="{00000000-0005-0000-0000-00002E0C0000}"/>
    <cellStyle name="Accent2 - 20% 9 2" xfId="3119" xr:uid="{00000000-0005-0000-0000-00002F0C0000}"/>
    <cellStyle name="Accent2 - 40%" xfId="3120" xr:uid="{00000000-0005-0000-0000-0000300C0000}"/>
    <cellStyle name="Accent2 - 40% 10" xfId="3121" xr:uid="{00000000-0005-0000-0000-0000310C0000}"/>
    <cellStyle name="Accent2 - 40% 11" xfId="3122" xr:uid="{00000000-0005-0000-0000-0000320C0000}"/>
    <cellStyle name="Accent2 - 40% 2" xfId="3123" xr:uid="{00000000-0005-0000-0000-0000330C0000}"/>
    <cellStyle name="Accent2 - 40% 2 2" xfId="3124" xr:uid="{00000000-0005-0000-0000-0000340C0000}"/>
    <cellStyle name="Accent2 - 40% 2 2 2" xfId="3125" xr:uid="{00000000-0005-0000-0000-0000350C0000}"/>
    <cellStyle name="Accent2 - 40% 2 2 2 2" xfId="3126" xr:uid="{00000000-0005-0000-0000-0000360C0000}"/>
    <cellStyle name="Accent2 - 40% 2 2 3" xfId="3127" xr:uid="{00000000-0005-0000-0000-0000370C0000}"/>
    <cellStyle name="Accent2 - 40% 2 3" xfId="3128" xr:uid="{00000000-0005-0000-0000-0000380C0000}"/>
    <cellStyle name="Accent2 - 40% 2 3 2" xfId="3129" xr:uid="{00000000-0005-0000-0000-0000390C0000}"/>
    <cellStyle name="Accent2 - 40% 2 3 2 2" xfId="3130" xr:uid="{00000000-0005-0000-0000-00003A0C0000}"/>
    <cellStyle name="Accent2 - 40% 2 3 2 2 2" xfId="3131" xr:uid="{00000000-0005-0000-0000-00003B0C0000}"/>
    <cellStyle name="Accent2 - 40% 2 3 2 3" xfId="3132" xr:uid="{00000000-0005-0000-0000-00003C0C0000}"/>
    <cellStyle name="Accent2 - 40% 2 3 3" xfId="3133" xr:uid="{00000000-0005-0000-0000-00003D0C0000}"/>
    <cellStyle name="Accent2 - 40% 2 3 3 2" xfId="3134" xr:uid="{00000000-0005-0000-0000-00003E0C0000}"/>
    <cellStyle name="Accent2 - 40% 2 3 4" xfId="3135" xr:uid="{00000000-0005-0000-0000-00003F0C0000}"/>
    <cellStyle name="Accent2 - 40% 2 4" xfId="3136" xr:uid="{00000000-0005-0000-0000-0000400C0000}"/>
    <cellStyle name="Accent2 - 40% 2 4 2" xfId="3137" xr:uid="{00000000-0005-0000-0000-0000410C0000}"/>
    <cellStyle name="Accent2 - 40% 2 4 2 2" xfId="3138" xr:uid="{00000000-0005-0000-0000-0000420C0000}"/>
    <cellStyle name="Accent2 - 40% 2 4 2 2 2" xfId="3139" xr:uid="{00000000-0005-0000-0000-0000430C0000}"/>
    <cellStyle name="Accent2 - 40% 2 4 2 3" xfId="3140" xr:uid="{00000000-0005-0000-0000-0000440C0000}"/>
    <cellStyle name="Accent2 - 40% 2 4 3" xfId="3141" xr:uid="{00000000-0005-0000-0000-0000450C0000}"/>
    <cellStyle name="Accent2 - 40% 2 4 3 2" xfId="3142" xr:uid="{00000000-0005-0000-0000-0000460C0000}"/>
    <cellStyle name="Accent2 - 40% 2 4 4" xfId="3143" xr:uid="{00000000-0005-0000-0000-0000470C0000}"/>
    <cellStyle name="Accent2 - 40% 2 5" xfId="3144" xr:uid="{00000000-0005-0000-0000-0000480C0000}"/>
    <cellStyle name="Accent2 - 40% 2 5 2" xfId="3145" xr:uid="{00000000-0005-0000-0000-0000490C0000}"/>
    <cellStyle name="Accent2 - 40% 2 6" xfId="3146" xr:uid="{00000000-0005-0000-0000-00004A0C0000}"/>
    <cellStyle name="Accent2 - 40% 2 6 2" xfId="3147" xr:uid="{00000000-0005-0000-0000-00004B0C0000}"/>
    <cellStyle name="Accent2 - 40% 2 7" xfId="3148" xr:uid="{00000000-0005-0000-0000-00004C0C0000}"/>
    <cellStyle name="Accent2 - 40% 3" xfId="3149" xr:uid="{00000000-0005-0000-0000-00004D0C0000}"/>
    <cellStyle name="Accent2 - 40% 3 2" xfId="3150" xr:uid="{00000000-0005-0000-0000-00004E0C0000}"/>
    <cellStyle name="Accent2 - 40% 3 2 2" xfId="3151" xr:uid="{00000000-0005-0000-0000-00004F0C0000}"/>
    <cellStyle name="Accent2 - 40% 3 2 2 2" xfId="3152" xr:uid="{00000000-0005-0000-0000-0000500C0000}"/>
    <cellStyle name="Accent2 - 40% 3 2 3" xfId="3153" xr:uid="{00000000-0005-0000-0000-0000510C0000}"/>
    <cellStyle name="Accent2 - 40% 3 3" xfId="3154" xr:uid="{00000000-0005-0000-0000-0000520C0000}"/>
    <cellStyle name="Accent2 - 40% 3 3 2" xfId="3155" xr:uid="{00000000-0005-0000-0000-0000530C0000}"/>
    <cellStyle name="Accent2 - 40% 3 4" xfId="3156" xr:uid="{00000000-0005-0000-0000-0000540C0000}"/>
    <cellStyle name="Accent2 - 40% 4" xfId="3157" xr:uid="{00000000-0005-0000-0000-0000550C0000}"/>
    <cellStyle name="Accent2 - 40% 4 2" xfId="3158" xr:uid="{00000000-0005-0000-0000-0000560C0000}"/>
    <cellStyle name="Accent2 - 40% 4 2 2" xfId="3159" xr:uid="{00000000-0005-0000-0000-0000570C0000}"/>
    <cellStyle name="Accent2 - 40% 4 3" xfId="3160" xr:uid="{00000000-0005-0000-0000-0000580C0000}"/>
    <cellStyle name="Accent2 - 40% 5" xfId="3161" xr:uid="{00000000-0005-0000-0000-0000590C0000}"/>
    <cellStyle name="Accent2 - 40% 5 2" xfId="3162" xr:uid="{00000000-0005-0000-0000-00005A0C0000}"/>
    <cellStyle name="Accent2 - 40% 5 2 2" xfId="3163" xr:uid="{00000000-0005-0000-0000-00005B0C0000}"/>
    <cellStyle name="Accent2 - 40% 5 3" xfId="3164" xr:uid="{00000000-0005-0000-0000-00005C0C0000}"/>
    <cellStyle name="Accent2 - 40% 6" xfId="3165" xr:uid="{00000000-0005-0000-0000-00005D0C0000}"/>
    <cellStyle name="Accent2 - 40% 6 2" xfId="3166" xr:uid="{00000000-0005-0000-0000-00005E0C0000}"/>
    <cellStyle name="Accent2 - 40% 7" xfId="3167" xr:uid="{00000000-0005-0000-0000-00005F0C0000}"/>
    <cellStyle name="Accent2 - 40% 7 2" xfId="3168" xr:uid="{00000000-0005-0000-0000-0000600C0000}"/>
    <cellStyle name="Accent2 - 40% 8" xfId="3169" xr:uid="{00000000-0005-0000-0000-0000610C0000}"/>
    <cellStyle name="Accent2 - 40% 8 2" xfId="3170" xr:uid="{00000000-0005-0000-0000-0000620C0000}"/>
    <cellStyle name="Accent2 - 40% 9" xfId="3171" xr:uid="{00000000-0005-0000-0000-0000630C0000}"/>
    <cellStyle name="Accent2 - 40% 9 2" xfId="3172" xr:uid="{00000000-0005-0000-0000-0000640C0000}"/>
    <cellStyle name="Accent2 - 60%" xfId="3173" xr:uid="{00000000-0005-0000-0000-0000650C0000}"/>
    <cellStyle name="Accent2 - 60% 10" xfId="3174" xr:uid="{00000000-0005-0000-0000-0000660C0000}"/>
    <cellStyle name="Accent2 - 60% 2" xfId="3175" xr:uid="{00000000-0005-0000-0000-0000670C0000}"/>
    <cellStyle name="Accent2 - 60% 2 2" xfId="3176" xr:uid="{00000000-0005-0000-0000-0000680C0000}"/>
    <cellStyle name="Accent2 - 60% 2 2 2" xfId="3177" xr:uid="{00000000-0005-0000-0000-0000690C0000}"/>
    <cellStyle name="Accent2 - 60% 2 3" xfId="3178" xr:uid="{00000000-0005-0000-0000-00006A0C0000}"/>
    <cellStyle name="Accent2 - 60% 2 3 2" xfId="3179" xr:uid="{00000000-0005-0000-0000-00006B0C0000}"/>
    <cellStyle name="Accent2 - 60% 2 3 2 2" xfId="3180" xr:uid="{00000000-0005-0000-0000-00006C0C0000}"/>
    <cellStyle name="Accent2 - 60% 2 3 3" xfId="3181" xr:uid="{00000000-0005-0000-0000-00006D0C0000}"/>
    <cellStyle name="Accent2 - 60% 2 4" xfId="3182" xr:uid="{00000000-0005-0000-0000-00006E0C0000}"/>
    <cellStyle name="Accent2 - 60% 2 4 2" xfId="3183" xr:uid="{00000000-0005-0000-0000-00006F0C0000}"/>
    <cellStyle name="Accent2 - 60% 2 4 2 2" xfId="3184" xr:uid="{00000000-0005-0000-0000-0000700C0000}"/>
    <cellStyle name="Accent2 - 60% 2 4 3" xfId="3185" xr:uid="{00000000-0005-0000-0000-0000710C0000}"/>
    <cellStyle name="Accent2 - 60% 2 5" xfId="3186" xr:uid="{00000000-0005-0000-0000-0000720C0000}"/>
    <cellStyle name="Accent2 - 60% 3" xfId="3187" xr:uid="{00000000-0005-0000-0000-0000730C0000}"/>
    <cellStyle name="Accent2 - 60% 3 2" xfId="3188" xr:uid="{00000000-0005-0000-0000-0000740C0000}"/>
    <cellStyle name="Accent2 - 60% 3 2 2" xfId="3189" xr:uid="{00000000-0005-0000-0000-0000750C0000}"/>
    <cellStyle name="Accent2 - 60% 3 3" xfId="3190" xr:uid="{00000000-0005-0000-0000-0000760C0000}"/>
    <cellStyle name="Accent2 - 60% 4" xfId="3191" xr:uid="{00000000-0005-0000-0000-0000770C0000}"/>
    <cellStyle name="Accent2 - 60% 4 2" xfId="3192" xr:uid="{00000000-0005-0000-0000-0000780C0000}"/>
    <cellStyle name="Accent2 - 60% 5" xfId="3193" xr:uid="{00000000-0005-0000-0000-0000790C0000}"/>
    <cellStyle name="Accent2 - 60% 5 2" xfId="3194" xr:uid="{00000000-0005-0000-0000-00007A0C0000}"/>
    <cellStyle name="Accent2 - 60% 6" xfId="3195" xr:uid="{00000000-0005-0000-0000-00007B0C0000}"/>
    <cellStyle name="Accent2 - 60% 6 2" xfId="3196" xr:uid="{00000000-0005-0000-0000-00007C0C0000}"/>
    <cellStyle name="Accent2 - 60% 6 2 2" xfId="3197" xr:uid="{00000000-0005-0000-0000-00007D0C0000}"/>
    <cellStyle name="Accent2 - 60% 6 3" xfId="3198" xr:uid="{00000000-0005-0000-0000-00007E0C0000}"/>
    <cellStyle name="Accent2 - 60% 7" xfId="3199" xr:uid="{00000000-0005-0000-0000-00007F0C0000}"/>
    <cellStyle name="Accent2 - 60% 7 2" xfId="3200" xr:uid="{00000000-0005-0000-0000-0000800C0000}"/>
    <cellStyle name="Accent2 - 60% 8" xfId="3201" xr:uid="{00000000-0005-0000-0000-0000810C0000}"/>
    <cellStyle name="Accent2 - 60% 8 2" xfId="3202" xr:uid="{00000000-0005-0000-0000-0000820C0000}"/>
    <cellStyle name="Accent2 - 60% 9" xfId="3203" xr:uid="{00000000-0005-0000-0000-0000830C0000}"/>
    <cellStyle name="Accent2 10" xfId="3204" xr:uid="{00000000-0005-0000-0000-0000840C0000}"/>
    <cellStyle name="Accent2 10 2" xfId="3205" xr:uid="{00000000-0005-0000-0000-0000850C0000}"/>
    <cellStyle name="Accent2 10 2 2" xfId="3206" xr:uid="{00000000-0005-0000-0000-0000860C0000}"/>
    <cellStyle name="Accent2 10 3" xfId="3207" xr:uid="{00000000-0005-0000-0000-0000870C0000}"/>
    <cellStyle name="Accent2 100" xfId="3208" xr:uid="{00000000-0005-0000-0000-0000880C0000}"/>
    <cellStyle name="Accent2 100 2" xfId="3209" xr:uid="{00000000-0005-0000-0000-0000890C0000}"/>
    <cellStyle name="Accent2 100 2 2" xfId="3210" xr:uid="{00000000-0005-0000-0000-00008A0C0000}"/>
    <cellStyle name="Accent2 100 3" xfId="3211" xr:uid="{00000000-0005-0000-0000-00008B0C0000}"/>
    <cellStyle name="Accent2 101" xfId="3212" xr:uid="{00000000-0005-0000-0000-00008C0C0000}"/>
    <cellStyle name="Accent2 101 2" xfId="3213" xr:uid="{00000000-0005-0000-0000-00008D0C0000}"/>
    <cellStyle name="Accent2 101 2 2" xfId="3214" xr:uid="{00000000-0005-0000-0000-00008E0C0000}"/>
    <cellStyle name="Accent2 101 3" xfId="3215" xr:uid="{00000000-0005-0000-0000-00008F0C0000}"/>
    <cellStyle name="Accent2 102" xfId="3216" xr:uid="{00000000-0005-0000-0000-0000900C0000}"/>
    <cellStyle name="Accent2 102 2" xfId="3217" xr:uid="{00000000-0005-0000-0000-0000910C0000}"/>
    <cellStyle name="Accent2 103" xfId="3218" xr:uid="{00000000-0005-0000-0000-0000920C0000}"/>
    <cellStyle name="Accent2 103 2" xfId="3219" xr:uid="{00000000-0005-0000-0000-0000930C0000}"/>
    <cellStyle name="Accent2 104" xfId="3220" xr:uid="{00000000-0005-0000-0000-0000940C0000}"/>
    <cellStyle name="Accent2 104 2" xfId="3221" xr:uid="{00000000-0005-0000-0000-0000950C0000}"/>
    <cellStyle name="Accent2 104 2 2" xfId="3222" xr:uid="{00000000-0005-0000-0000-0000960C0000}"/>
    <cellStyle name="Accent2 104 3" xfId="3223" xr:uid="{00000000-0005-0000-0000-0000970C0000}"/>
    <cellStyle name="Accent2 105" xfId="3224" xr:uid="{00000000-0005-0000-0000-0000980C0000}"/>
    <cellStyle name="Accent2 105 2" xfId="3225" xr:uid="{00000000-0005-0000-0000-0000990C0000}"/>
    <cellStyle name="Accent2 105 2 2" xfId="3226" xr:uid="{00000000-0005-0000-0000-00009A0C0000}"/>
    <cellStyle name="Accent2 105 3" xfId="3227" xr:uid="{00000000-0005-0000-0000-00009B0C0000}"/>
    <cellStyle name="Accent2 106" xfId="3228" xr:uid="{00000000-0005-0000-0000-00009C0C0000}"/>
    <cellStyle name="Accent2 106 2" xfId="3229" xr:uid="{00000000-0005-0000-0000-00009D0C0000}"/>
    <cellStyle name="Accent2 106 2 2" xfId="3230" xr:uid="{00000000-0005-0000-0000-00009E0C0000}"/>
    <cellStyle name="Accent2 106 3" xfId="3231" xr:uid="{00000000-0005-0000-0000-00009F0C0000}"/>
    <cellStyle name="Accent2 107" xfId="3232" xr:uid="{00000000-0005-0000-0000-0000A00C0000}"/>
    <cellStyle name="Accent2 107 2" xfId="3233" xr:uid="{00000000-0005-0000-0000-0000A10C0000}"/>
    <cellStyle name="Accent2 107 2 2" xfId="3234" xr:uid="{00000000-0005-0000-0000-0000A20C0000}"/>
    <cellStyle name="Accent2 107 3" xfId="3235" xr:uid="{00000000-0005-0000-0000-0000A30C0000}"/>
    <cellStyle name="Accent2 108" xfId="3236" xr:uid="{00000000-0005-0000-0000-0000A40C0000}"/>
    <cellStyle name="Accent2 108 2" xfId="3237" xr:uid="{00000000-0005-0000-0000-0000A50C0000}"/>
    <cellStyle name="Accent2 108 2 2" xfId="3238" xr:uid="{00000000-0005-0000-0000-0000A60C0000}"/>
    <cellStyle name="Accent2 108 3" xfId="3239" xr:uid="{00000000-0005-0000-0000-0000A70C0000}"/>
    <cellStyle name="Accent2 109" xfId="3240" xr:uid="{00000000-0005-0000-0000-0000A80C0000}"/>
    <cellStyle name="Accent2 109 2" xfId="3241" xr:uid="{00000000-0005-0000-0000-0000A90C0000}"/>
    <cellStyle name="Accent2 109 2 2" xfId="3242" xr:uid="{00000000-0005-0000-0000-0000AA0C0000}"/>
    <cellStyle name="Accent2 109 3" xfId="3243" xr:uid="{00000000-0005-0000-0000-0000AB0C0000}"/>
    <cellStyle name="Accent2 11" xfId="3244" xr:uid="{00000000-0005-0000-0000-0000AC0C0000}"/>
    <cellStyle name="Accent2 11 2" xfId="3245" xr:uid="{00000000-0005-0000-0000-0000AD0C0000}"/>
    <cellStyle name="Accent2 11 2 2" xfId="3246" xr:uid="{00000000-0005-0000-0000-0000AE0C0000}"/>
    <cellStyle name="Accent2 11 3" xfId="3247" xr:uid="{00000000-0005-0000-0000-0000AF0C0000}"/>
    <cellStyle name="Accent2 110" xfId="3248" xr:uid="{00000000-0005-0000-0000-0000B00C0000}"/>
    <cellStyle name="Accent2 110 2" xfId="3249" xr:uid="{00000000-0005-0000-0000-0000B10C0000}"/>
    <cellStyle name="Accent2 110 2 2" xfId="3250" xr:uid="{00000000-0005-0000-0000-0000B20C0000}"/>
    <cellStyle name="Accent2 110 3" xfId="3251" xr:uid="{00000000-0005-0000-0000-0000B30C0000}"/>
    <cellStyle name="Accent2 111" xfId="3252" xr:uid="{00000000-0005-0000-0000-0000B40C0000}"/>
    <cellStyle name="Accent2 111 2" xfId="3253" xr:uid="{00000000-0005-0000-0000-0000B50C0000}"/>
    <cellStyle name="Accent2 111 2 2" xfId="3254" xr:uid="{00000000-0005-0000-0000-0000B60C0000}"/>
    <cellStyle name="Accent2 111 3" xfId="3255" xr:uid="{00000000-0005-0000-0000-0000B70C0000}"/>
    <cellStyle name="Accent2 112" xfId="3256" xr:uid="{00000000-0005-0000-0000-0000B80C0000}"/>
    <cellStyle name="Accent2 112 2" xfId="3257" xr:uid="{00000000-0005-0000-0000-0000B90C0000}"/>
    <cellStyle name="Accent2 112 2 2" xfId="3258" xr:uid="{00000000-0005-0000-0000-0000BA0C0000}"/>
    <cellStyle name="Accent2 112 3" xfId="3259" xr:uid="{00000000-0005-0000-0000-0000BB0C0000}"/>
    <cellStyle name="Accent2 113" xfId="3260" xr:uid="{00000000-0005-0000-0000-0000BC0C0000}"/>
    <cellStyle name="Accent2 113 2" xfId="3261" xr:uid="{00000000-0005-0000-0000-0000BD0C0000}"/>
    <cellStyle name="Accent2 113 2 2" xfId="3262" xr:uid="{00000000-0005-0000-0000-0000BE0C0000}"/>
    <cellStyle name="Accent2 113 3" xfId="3263" xr:uid="{00000000-0005-0000-0000-0000BF0C0000}"/>
    <cellStyle name="Accent2 114" xfId="3264" xr:uid="{00000000-0005-0000-0000-0000C00C0000}"/>
    <cellStyle name="Accent2 114 2" xfId="3265" xr:uid="{00000000-0005-0000-0000-0000C10C0000}"/>
    <cellStyle name="Accent2 115" xfId="3266" xr:uid="{00000000-0005-0000-0000-0000C20C0000}"/>
    <cellStyle name="Accent2 115 2" xfId="3267" xr:uid="{00000000-0005-0000-0000-0000C30C0000}"/>
    <cellStyle name="Accent2 116" xfId="3268" xr:uid="{00000000-0005-0000-0000-0000C40C0000}"/>
    <cellStyle name="Accent2 116 2" xfId="3269" xr:uid="{00000000-0005-0000-0000-0000C50C0000}"/>
    <cellStyle name="Accent2 117" xfId="3270" xr:uid="{00000000-0005-0000-0000-0000C60C0000}"/>
    <cellStyle name="Accent2 117 2" xfId="3271" xr:uid="{00000000-0005-0000-0000-0000C70C0000}"/>
    <cellStyle name="Accent2 118" xfId="3272" xr:uid="{00000000-0005-0000-0000-0000C80C0000}"/>
    <cellStyle name="Accent2 118 2" xfId="3273" xr:uid="{00000000-0005-0000-0000-0000C90C0000}"/>
    <cellStyle name="Accent2 119" xfId="3274" xr:uid="{00000000-0005-0000-0000-0000CA0C0000}"/>
    <cellStyle name="Accent2 119 2" xfId="3275" xr:uid="{00000000-0005-0000-0000-0000CB0C0000}"/>
    <cellStyle name="Accent2 12" xfId="3276" xr:uid="{00000000-0005-0000-0000-0000CC0C0000}"/>
    <cellStyle name="Accent2 12 2" xfId="3277" xr:uid="{00000000-0005-0000-0000-0000CD0C0000}"/>
    <cellStyle name="Accent2 12 2 2" xfId="3278" xr:uid="{00000000-0005-0000-0000-0000CE0C0000}"/>
    <cellStyle name="Accent2 12 3" xfId="3279" xr:uid="{00000000-0005-0000-0000-0000CF0C0000}"/>
    <cellStyle name="Accent2 120" xfId="3280" xr:uid="{00000000-0005-0000-0000-0000D00C0000}"/>
    <cellStyle name="Accent2 120 2" xfId="3281" xr:uid="{00000000-0005-0000-0000-0000D10C0000}"/>
    <cellStyle name="Accent2 121" xfId="3282" xr:uid="{00000000-0005-0000-0000-0000D20C0000}"/>
    <cellStyle name="Accent2 121 2" xfId="3283" xr:uid="{00000000-0005-0000-0000-0000D30C0000}"/>
    <cellStyle name="Accent2 122" xfId="3284" xr:uid="{00000000-0005-0000-0000-0000D40C0000}"/>
    <cellStyle name="Accent2 122 2" xfId="3285" xr:uid="{00000000-0005-0000-0000-0000D50C0000}"/>
    <cellStyle name="Accent2 123" xfId="3286" xr:uid="{00000000-0005-0000-0000-0000D60C0000}"/>
    <cellStyle name="Accent2 123 2" xfId="3287" xr:uid="{00000000-0005-0000-0000-0000D70C0000}"/>
    <cellStyle name="Accent2 124" xfId="3288" xr:uid="{00000000-0005-0000-0000-0000D80C0000}"/>
    <cellStyle name="Accent2 124 2" xfId="3289" xr:uid="{00000000-0005-0000-0000-0000D90C0000}"/>
    <cellStyle name="Accent2 125" xfId="3290" xr:uid="{00000000-0005-0000-0000-0000DA0C0000}"/>
    <cellStyle name="Accent2 125 2" xfId="3291" xr:uid="{00000000-0005-0000-0000-0000DB0C0000}"/>
    <cellStyle name="Accent2 126" xfId="3292" xr:uid="{00000000-0005-0000-0000-0000DC0C0000}"/>
    <cellStyle name="Accent2 127" xfId="3293" xr:uid="{00000000-0005-0000-0000-0000DD0C0000}"/>
    <cellStyle name="Accent2 128" xfId="3294" xr:uid="{00000000-0005-0000-0000-0000DE0C0000}"/>
    <cellStyle name="Accent2 129" xfId="3295" xr:uid="{00000000-0005-0000-0000-0000DF0C0000}"/>
    <cellStyle name="Accent2 13" xfId="3296" xr:uid="{00000000-0005-0000-0000-0000E00C0000}"/>
    <cellStyle name="Accent2 13 2" xfId="3297" xr:uid="{00000000-0005-0000-0000-0000E10C0000}"/>
    <cellStyle name="Accent2 13 2 2" xfId="3298" xr:uid="{00000000-0005-0000-0000-0000E20C0000}"/>
    <cellStyle name="Accent2 13 3" xfId="3299" xr:uid="{00000000-0005-0000-0000-0000E30C0000}"/>
    <cellStyle name="Accent2 130" xfId="3300" xr:uid="{00000000-0005-0000-0000-0000E40C0000}"/>
    <cellStyle name="Accent2 131" xfId="3301" xr:uid="{00000000-0005-0000-0000-0000E50C0000}"/>
    <cellStyle name="Accent2 132" xfId="3302" xr:uid="{00000000-0005-0000-0000-0000E60C0000}"/>
    <cellStyle name="Accent2 133" xfId="3303" xr:uid="{00000000-0005-0000-0000-0000E70C0000}"/>
    <cellStyle name="Accent2 134" xfId="3304" xr:uid="{00000000-0005-0000-0000-0000E80C0000}"/>
    <cellStyle name="Accent2 135" xfId="3305" xr:uid="{00000000-0005-0000-0000-0000E90C0000}"/>
    <cellStyle name="Accent2 136" xfId="3306" xr:uid="{00000000-0005-0000-0000-0000EA0C0000}"/>
    <cellStyle name="Accent2 137" xfId="3307" xr:uid="{00000000-0005-0000-0000-0000EB0C0000}"/>
    <cellStyle name="Accent2 138" xfId="3308" xr:uid="{00000000-0005-0000-0000-0000EC0C0000}"/>
    <cellStyle name="Accent2 139" xfId="3309" xr:uid="{00000000-0005-0000-0000-0000ED0C0000}"/>
    <cellStyle name="Accent2 14" xfId="3310" xr:uid="{00000000-0005-0000-0000-0000EE0C0000}"/>
    <cellStyle name="Accent2 14 2" xfId="3311" xr:uid="{00000000-0005-0000-0000-0000EF0C0000}"/>
    <cellStyle name="Accent2 14 2 2" xfId="3312" xr:uid="{00000000-0005-0000-0000-0000F00C0000}"/>
    <cellStyle name="Accent2 14 3" xfId="3313" xr:uid="{00000000-0005-0000-0000-0000F10C0000}"/>
    <cellStyle name="Accent2 140" xfId="3314" xr:uid="{00000000-0005-0000-0000-0000F20C0000}"/>
    <cellStyle name="Accent2 141" xfId="3315" xr:uid="{00000000-0005-0000-0000-0000F30C0000}"/>
    <cellStyle name="Accent2 142" xfId="3316" xr:uid="{00000000-0005-0000-0000-0000F40C0000}"/>
    <cellStyle name="Accent2 143" xfId="3317" xr:uid="{00000000-0005-0000-0000-0000F50C0000}"/>
    <cellStyle name="Accent2 144" xfId="3318" xr:uid="{00000000-0005-0000-0000-0000F60C0000}"/>
    <cellStyle name="Accent2 145" xfId="3319" xr:uid="{00000000-0005-0000-0000-0000F70C0000}"/>
    <cellStyle name="Accent2 146" xfId="3320" xr:uid="{00000000-0005-0000-0000-0000F80C0000}"/>
    <cellStyle name="Accent2 147" xfId="3321" xr:uid="{00000000-0005-0000-0000-0000F90C0000}"/>
    <cellStyle name="Accent2 148" xfId="3322" xr:uid="{00000000-0005-0000-0000-0000FA0C0000}"/>
    <cellStyle name="Accent2 149" xfId="3323" xr:uid="{00000000-0005-0000-0000-0000FB0C0000}"/>
    <cellStyle name="Accent2 15" xfId="3324" xr:uid="{00000000-0005-0000-0000-0000FC0C0000}"/>
    <cellStyle name="Accent2 15 2" xfId="3325" xr:uid="{00000000-0005-0000-0000-0000FD0C0000}"/>
    <cellStyle name="Accent2 15 2 2" xfId="3326" xr:uid="{00000000-0005-0000-0000-0000FE0C0000}"/>
    <cellStyle name="Accent2 15 3" xfId="3327" xr:uid="{00000000-0005-0000-0000-0000FF0C0000}"/>
    <cellStyle name="Accent2 150" xfId="3328" xr:uid="{00000000-0005-0000-0000-0000000D0000}"/>
    <cellStyle name="Accent2 151" xfId="3329" xr:uid="{00000000-0005-0000-0000-0000010D0000}"/>
    <cellStyle name="Accent2 152" xfId="3330" xr:uid="{00000000-0005-0000-0000-0000020D0000}"/>
    <cellStyle name="Accent2 153" xfId="3331" xr:uid="{00000000-0005-0000-0000-0000030D0000}"/>
    <cellStyle name="Accent2 154" xfId="3332" xr:uid="{00000000-0005-0000-0000-0000040D0000}"/>
    <cellStyle name="Accent2 155" xfId="3333" xr:uid="{00000000-0005-0000-0000-0000050D0000}"/>
    <cellStyle name="Accent2 156" xfId="3334" xr:uid="{00000000-0005-0000-0000-0000060D0000}"/>
    <cellStyle name="Accent2 157" xfId="3335" xr:uid="{00000000-0005-0000-0000-0000070D0000}"/>
    <cellStyle name="Accent2 158" xfId="3336" xr:uid="{00000000-0005-0000-0000-0000080D0000}"/>
    <cellStyle name="Accent2 159" xfId="3337" xr:uid="{00000000-0005-0000-0000-0000090D0000}"/>
    <cellStyle name="Accent2 16" xfId="3338" xr:uid="{00000000-0005-0000-0000-00000A0D0000}"/>
    <cellStyle name="Accent2 16 2" xfId="3339" xr:uid="{00000000-0005-0000-0000-00000B0D0000}"/>
    <cellStyle name="Accent2 16 2 2" xfId="3340" xr:uid="{00000000-0005-0000-0000-00000C0D0000}"/>
    <cellStyle name="Accent2 16 3" xfId="3341" xr:uid="{00000000-0005-0000-0000-00000D0D0000}"/>
    <cellStyle name="Accent2 160" xfId="3342" xr:uid="{00000000-0005-0000-0000-00000E0D0000}"/>
    <cellStyle name="Accent2 161" xfId="3343" xr:uid="{00000000-0005-0000-0000-00000F0D0000}"/>
    <cellStyle name="Accent2 162" xfId="3344" xr:uid="{00000000-0005-0000-0000-0000100D0000}"/>
    <cellStyle name="Accent2 163" xfId="3345" xr:uid="{00000000-0005-0000-0000-0000110D0000}"/>
    <cellStyle name="Accent2 164" xfId="3346" xr:uid="{00000000-0005-0000-0000-0000120D0000}"/>
    <cellStyle name="Accent2 165" xfId="3347" xr:uid="{00000000-0005-0000-0000-0000130D0000}"/>
    <cellStyle name="Accent2 166" xfId="3348" xr:uid="{00000000-0005-0000-0000-0000140D0000}"/>
    <cellStyle name="Accent2 167" xfId="3349" xr:uid="{00000000-0005-0000-0000-0000150D0000}"/>
    <cellStyle name="Accent2 168" xfId="3350" xr:uid="{00000000-0005-0000-0000-0000160D0000}"/>
    <cellStyle name="Accent2 169" xfId="3351" xr:uid="{00000000-0005-0000-0000-0000170D0000}"/>
    <cellStyle name="Accent2 17" xfId="3352" xr:uid="{00000000-0005-0000-0000-0000180D0000}"/>
    <cellStyle name="Accent2 17 2" xfId="3353" xr:uid="{00000000-0005-0000-0000-0000190D0000}"/>
    <cellStyle name="Accent2 17 2 2" xfId="3354" xr:uid="{00000000-0005-0000-0000-00001A0D0000}"/>
    <cellStyle name="Accent2 17 3" xfId="3355" xr:uid="{00000000-0005-0000-0000-00001B0D0000}"/>
    <cellStyle name="Accent2 170" xfId="3356" xr:uid="{00000000-0005-0000-0000-00001C0D0000}"/>
    <cellStyle name="Accent2 171" xfId="3357" xr:uid="{00000000-0005-0000-0000-00001D0D0000}"/>
    <cellStyle name="Accent2 172" xfId="3358" xr:uid="{00000000-0005-0000-0000-00001E0D0000}"/>
    <cellStyle name="Accent2 173" xfId="3359" xr:uid="{00000000-0005-0000-0000-00001F0D0000}"/>
    <cellStyle name="Accent2 174" xfId="3360" xr:uid="{00000000-0005-0000-0000-0000200D0000}"/>
    <cellStyle name="Accent2 175" xfId="3361" xr:uid="{00000000-0005-0000-0000-0000210D0000}"/>
    <cellStyle name="Accent2 176" xfId="3362" xr:uid="{00000000-0005-0000-0000-0000220D0000}"/>
    <cellStyle name="Accent2 177" xfId="3363" xr:uid="{00000000-0005-0000-0000-0000230D0000}"/>
    <cellStyle name="Accent2 178" xfId="3364" xr:uid="{00000000-0005-0000-0000-0000240D0000}"/>
    <cellStyle name="Accent2 179" xfId="3365" xr:uid="{00000000-0005-0000-0000-0000250D0000}"/>
    <cellStyle name="Accent2 18" xfId="3366" xr:uid="{00000000-0005-0000-0000-0000260D0000}"/>
    <cellStyle name="Accent2 18 2" xfId="3367" xr:uid="{00000000-0005-0000-0000-0000270D0000}"/>
    <cellStyle name="Accent2 18 2 2" xfId="3368" xr:uid="{00000000-0005-0000-0000-0000280D0000}"/>
    <cellStyle name="Accent2 18 3" xfId="3369" xr:uid="{00000000-0005-0000-0000-0000290D0000}"/>
    <cellStyle name="Accent2 19" xfId="3370" xr:uid="{00000000-0005-0000-0000-00002A0D0000}"/>
    <cellStyle name="Accent2 19 2" xfId="3371" xr:uid="{00000000-0005-0000-0000-00002B0D0000}"/>
    <cellStyle name="Accent2 19 2 2" xfId="3372" xr:uid="{00000000-0005-0000-0000-00002C0D0000}"/>
    <cellStyle name="Accent2 19 3" xfId="3373" xr:uid="{00000000-0005-0000-0000-00002D0D0000}"/>
    <cellStyle name="Accent2 2" xfId="3374" xr:uid="{00000000-0005-0000-0000-00002E0D0000}"/>
    <cellStyle name="Accent2 2 10" xfId="3375" xr:uid="{00000000-0005-0000-0000-00002F0D0000}"/>
    <cellStyle name="Accent2 2 10 2" xfId="3376" xr:uid="{00000000-0005-0000-0000-0000300D0000}"/>
    <cellStyle name="Accent2 2 11" xfId="3377" xr:uid="{00000000-0005-0000-0000-0000310D0000}"/>
    <cellStyle name="Accent2 2 12" xfId="3378" xr:uid="{00000000-0005-0000-0000-0000320D0000}"/>
    <cellStyle name="Accent2 2 2" xfId="3379" xr:uid="{00000000-0005-0000-0000-0000330D0000}"/>
    <cellStyle name="Accent2 2 2 2" xfId="3380" xr:uid="{00000000-0005-0000-0000-0000340D0000}"/>
    <cellStyle name="Accent2 2 2 2 2" xfId="3381" xr:uid="{00000000-0005-0000-0000-0000350D0000}"/>
    <cellStyle name="Accent2 2 2 3" xfId="3382" xr:uid="{00000000-0005-0000-0000-0000360D0000}"/>
    <cellStyle name="Accent2 2 2 3 2" xfId="3383" xr:uid="{00000000-0005-0000-0000-0000370D0000}"/>
    <cellStyle name="Accent2 2 2 3 2 2" xfId="3384" xr:uid="{00000000-0005-0000-0000-0000380D0000}"/>
    <cellStyle name="Accent2 2 2 3 3" xfId="3385" xr:uid="{00000000-0005-0000-0000-0000390D0000}"/>
    <cellStyle name="Accent2 2 2 4" xfId="3386" xr:uid="{00000000-0005-0000-0000-00003A0D0000}"/>
    <cellStyle name="Accent2 2 3" xfId="3387" xr:uid="{00000000-0005-0000-0000-00003B0D0000}"/>
    <cellStyle name="Accent2 2 3 2" xfId="3388" xr:uid="{00000000-0005-0000-0000-00003C0D0000}"/>
    <cellStyle name="Accent2 2 3 2 2" xfId="3389" xr:uid="{00000000-0005-0000-0000-00003D0D0000}"/>
    <cellStyle name="Accent2 2 3 3" xfId="3390" xr:uid="{00000000-0005-0000-0000-00003E0D0000}"/>
    <cellStyle name="Accent2 2 3 3 2" xfId="3391" xr:uid="{00000000-0005-0000-0000-00003F0D0000}"/>
    <cellStyle name="Accent2 2 3 3 2 2" xfId="3392" xr:uid="{00000000-0005-0000-0000-0000400D0000}"/>
    <cellStyle name="Accent2 2 3 3 3" xfId="3393" xr:uid="{00000000-0005-0000-0000-0000410D0000}"/>
    <cellStyle name="Accent2 2 3 4" xfId="3394" xr:uid="{00000000-0005-0000-0000-0000420D0000}"/>
    <cellStyle name="Accent2 2 4" xfId="3395" xr:uid="{00000000-0005-0000-0000-0000430D0000}"/>
    <cellStyle name="Accent2 2 4 2" xfId="3396" xr:uid="{00000000-0005-0000-0000-0000440D0000}"/>
    <cellStyle name="Accent2 2 4 2 2" xfId="3397" xr:uid="{00000000-0005-0000-0000-0000450D0000}"/>
    <cellStyle name="Accent2 2 4 3" xfId="3398" xr:uid="{00000000-0005-0000-0000-0000460D0000}"/>
    <cellStyle name="Accent2 2 5" xfId="3399" xr:uid="{00000000-0005-0000-0000-0000470D0000}"/>
    <cellStyle name="Accent2 2 5 2" xfId="3400" xr:uid="{00000000-0005-0000-0000-0000480D0000}"/>
    <cellStyle name="Accent2 2 5 2 2" xfId="3401" xr:uid="{00000000-0005-0000-0000-0000490D0000}"/>
    <cellStyle name="Accent2 2 5 3" xfId="3402" xr:uid="{00000000-0005-0000-0000-00004A0D0000}"/>
    <cellStyle name="Accent2 2 5 3 2" xfId="3403" xr:uid="{00000000-0005-0000-0000-00004B0D0000}"/>
    <cellStyle name="Accent2 2 5 3 2 2" xfId="3404" xr:uid="{00000000-0005-0000-0000-00004C0D0000}"/>
    <cellStyle name="Accent2 2 5 3 3" xfId="3405" xr:uid="{00000000-0005-0000-0000-00004D0D0000}"/>
    <cellStyle name="Accent2 2 5 4" xfId="3406" xr:uid="{00000000-0005-0000-0000-00004E0D0000}"/>
    <cellStyle name="Accent2 2 6" xfId="3407" xr:uid="{00000000-0005-0000-0000-00004F0D0000}"/>
    <cellStyle name="Accent2 2 6 2" xfId="3408" xr:uid="{00000000-0005-0000-0000-0000500D0000}"/>
    <cellStyle name="Accent2 2 7" xfId="3409" xr:uid="{00000000-0005-0000-0000-0000510D0000}"/>
    <cellStyle name="Accent2 2 7 2" xfId="3410" xr:uid="{00000000-0005-0000-0000-0000520D0000}"/>
    <cellStyle name="Accent2 2 8" xfId="3411" xr:uid="{00000000-0005-0000-0000-0000530D0000}"/>
    <cellStyle name="Accent2 2 8 2" xfId="3412" xr:uid="{00000000-0005-0000-0000-0000540D0000}"/>
    <cellStyle name="Accent2 2 8 2 2" xfId="3413" xr:uid="{00000000-0005-0000-0000-0000550D0000}"/>
    <cellStyle name="Accent2 2 8 3" xfId="3414" xr:uid="{00000000-0005-0000-0000-0000560D0000}"/>
    <cellStyle name="Accent2 2 9" xfId="3415" xr:uid="{00000000-0005-0000-0000-0000570D0000}"/>
    <cellStyle name="Accent2 2 9 2" xfId="3416" xr:uid="{00000000-0005-0000-0000-0000580D0000}"/>
    <cellStyle name="Accent2 2 9 2 2" xfId="3417" xr:uid="{00000000-0005-0000-0000-0000590D0000}"/>
    <cellStyle name="Accent2 2 9 3" xfId="3418" xr:uid="{00000000-0005-0000-0000-00005A0D0000}"/>
    <cellStyle name="Accent2 20" xfId="3419" xr:uid="{00000000-0005-0000-0000-00005B0D0000}"/>
    <cellStyle name="Accent2 20 2" xfId="3420" xr:uid="{00000000-0005-0000-0000-00005C0D0000}"/>
    <cellStyle name="Accent2 20 2 2" xfId="3421" xr:uid="{00000000-0005-0000-0000-00005D0D0000}"/>
    <cellStyle name="Accent2 20 3" xfId="3422" xr:uid="{00000000-0005-0000-0000-00005E0D0000}"/>
    <cellStyle name="Accent2 21" xfId="3423" xr:uid="{00000000-0005-0000-0000-00005F0D0000}"/>
    <cellStyle name="Accent2 21 2" xfId="3424" xr:uid="{00000000-0005-0000-0000-0000600D0000}"/>
    <cellStyle name="Accent2 21 2 2" xfId="3425" xr:uid="{00000000-0005-0000-0000-0000610D0000}"/>
    <cellStyle name="Accent2 21 3" xfId="3426" xr:uid="{00000000-0005-0000-0000-0000620D0000}"/>
    <cellStyle name="Accent2 22" xfId="3427" xr:uid="{00000000-0005-0000-0000-0000630D0000}"/>
    <cellStyle name="Accent2 22 2" xfId="3428" xr:uid="{00000000-0005-0000-0000-0000640D0000}"/>
    <cellStyle name="Accent2 22 2 2" xfId="3429" xr:uid="{00000000-0005-0000-0000-0000650D0000}"/>
    <cellStyle name="Accent2 22 3" xfId="3430" xr:uid="{00000000-0005-0000-0000-0000660D0000}"/>
    <cellStyle name="Accent2 23" xfId="3431" xr:uid="{00000000-0005-0000-0000-0000670D0000}"/>
    <cellStyle name="Accent2 23 2" xfId="3432" xr:uid="{00000000-0005-0000-0000-0000680D0000}"/>
    <cellStyle name="Accent2 23 2 2" xfId="3433" xr:uid="{00000000-0005-0000-0000-0000690D0000}"/>
    <cellStyle name="Accent2 23 3" xfId="3434" xr:uid="{00000000-0005-0000-0000-00006A0D0000}"/>
    <cellStyle name="Accent2 24" xfId="3435" xr:uid="{00000000-0005-0000-0000-00006B0D0000}"/>
    <cellStyle name="Accent2 24 2" xfId="3436" xr:uid="{00000000-0005-0000-0000-00006C0D0000}"/>
    <cellStyle name="Accent2 24 2 2" xfId="3437" xr:uid="{00000000-0005-0000-0000-00006D0D0000}"/>
    <cellStyle name="Accent2 24 3" xfId="3438" xr:uid="{00000000-0005-0000-0000-00006E0D0000}"/>
    <cellStyle name="Accent2 25" xfId="3439" xr:uid="{00000000-0005-0000-0000-00006F0D0000}"/>
    <cellStyle name="Accent2 25 2" xfId="3440" xr:uid="{00000000-0005-0000-0000-0000700D0000}"/>
    <cellStyle name="Accent2 25 2 2" xfId="3441" xr:uid="{00000000-0005-0000-0000-0000710D0000}"/>
    <cellStyle name="Accent2 25 3" xfId="3442" xr:uid="{00000000-0005-0000-0000-0000720D0000}"/>
    <cellStyle name="Accent2 26" xfId="3443" xr:uid="{00000000-0005-0000-0000-0000730D0000}"/>
    <cellStyle name="Accent2 26 2" xfId="3444" xr:uid="{00000000-0005-0000-0000-0000740D0000}"/>
    <cellStyle name="Accent2 26 2 2" xfId="3445" xr:uid="{00000000-0005-0000-0000-0000750D0000}"/>
    <cellStyle name="Accent2 26 3" xfId="3446" xr:uid="{00000000-0005-0000-0000-0000760D0000}"/>
    <cellStyle name="Accent2 27" xfId="3447" xr:uid="{00000000-0005-0000-0000-0000770D0000}"/>
    <cellStyle name="Accent2 27 2" xfId="3448" xr:uid="{00000000-0005-0000-0000-0000780D0000}"/>
    <cellStyle name="Accent2 27 2 2" xfId="3449" xr:uid="{00000000-0005-0000-0000-0000790D0000}"/>
    <cellStyle name="Accent2 27 3" xfId="3450" xr:uid="{00000000-0005-0000-0000-00007A0D0000}"/>
    <cellStyle name="Accent2 28" xfId="3451" xr:uid="{00000000-0005-0000-0000-00007B0D0000}"/>
    <cellStyle name="Accent2 28 2" xfId="3452" xr:uid="{00000000-0005-0000-0000-00007C0D0000}"/>
    <cellStyle name="Accent2 28 2 2" xfId="3453" xr:uid="{00000000-0005-0000-0000-00007D0D0000}"/>
    <cellStyle name="Accent2 28 3" xfId="3454" xr:uid="{00000000-0005-0000-0000-00007E0D0000}"/>
    <cellStyle name="Accent2 29" xfId="3455" xr:uid="{00000000-0005-0000-0000-00007F0D0000}"/>
    <cellStyle name="Accent2 29 2" xfId="3456" xr:uid="{00000000-0005-0000-0000-0000800D0000}"/>
    <cellStyle name="Accent2 29 2 2" xfId="3457" xr:uid="{00000000-0005-0000-0000-0000810D0000}"/>
    <cellStyle name="Accent2 29 3" xfId="3458" xr:uid="{00000000-0005-0000-0000-0000820D0000}"/>
    <cellStyle name="Accent2 3" xfId="3459" xr:uid="{00000000-0005-0000-0000-0000830D0000}"/>
    <cellStyle name="Accent2 3 10" xfId="3460" xr:uid="{00000000-0005-0000-0000-0000840D0000}"/>
    <cellStyle name="Accent2 3 10 2" xfId="3461" xr:uid="{00000000-0005-0000-0000-0000850D0000}"/>
    <cellStyle name="Accent2 3 11" xfId="3462" xr:uid="{00000000-0005-0000-0000-0000860D0000}"/>
    <cellStyle name="Accent2 3 2" xfId="3463" xr:uid="{00000000-0005-0000-0000-0000870D0000}"/>
    <cellStyle name="Accent2 3 2 2" xfId="3464" xr:uid="{00000000-0005-0000-0000-0000880D0000}"/>
    <cellStyle name="Accent2 3 2 2 2" xfId="3465" xr:uid="{00000000-0005-0000-0000-0000890D0000}"/>
    <cellStyle name="Accent2 3 2 3" xfId="3466" xr:uid="{00000000-0005-0000-0000-00008A0D0000}"/>
    <cellStyle name="Accent2 3 2 3 2" xfId="3467" xr:uid="{00000000-0005-0000-0000-00008B0D0000}"/>
    <cellStyle name="Accent2 3 2 3 2 2" xfId="3468" xr:uid="{00000000-0005-0000-0000-00008C0D0000}"/>
    <cellStyle name="Accent2 3 2 3 3" xfId="3469" xr:uid="{00000000-0005-0000-0000-00008D0D0000}"/>
    <cellStyle name="Accent2 3 2 4" xfId="3470" xr:uid="{00000000-0005-0000-0000-00008E0D0000}"/>
    <cellStyle name="Accent2 3 3" xfId="3471" xr:uid="{00000000-0005-0000-0000-00008F0D0000}"/>
    <cellStyle name="Accent2 3 3 2" xfId="3472" xr:uid="{00000000-0005-0000-0000-0000900D0000}"/>
    <cellStyle name="Accent2 3 3 2 2" xfId="3473" xr:uid="{00000000-0005-0000-0000-0000910D0000}"/>
    <cellStyle name="Accent2 3 3 3" xfId="3474" xr:uid="{00000000-0005-0000-0000-0000920D0000}"/>
    <cellStyle name="Accent2 3 3 3 2" xfId="3475" xr:uid="{00000000-0005-0000-0000-0000930D0000}"/>
    <cellStyle name="Accent2 3 3 3 2 2" xfId="3476" xr:uid="{00000000-0005-0000-0000-0000940D0000}"/>
    <cellStyle name="Accent2 3 3 3 3" xfId="3477" xr:uid="{00000000-0005-0000-0000-0000950D0000}"/>
    <cellStyle name="Accent2 3 3 4" xfId="3478" xr:uid="{00000000-0005-0000-0000-0000960D0000}"/>
    <cellStyle name="Accent2 3 4" xfId="3479" xr:uid="{00000000-0005-0000-0000-0000970D0000}"/>
    <cellStyle name="Accent2 3 4 2" xfId="3480" xr:uid="{00000000-0005-0000-0000-0000980D0000}"/>
    <cellStyle name="Accent2 3 4 2 2" xfId="3481" xr:uid="{00000000-0005-0000-0000-0000990D0000}"/>
    <cellStyle name="Accent2 3 4 3" xfId="3482" xr:uid="{00000000-0005-0000-0000-00009A0D0000}"/>
    <cellStyle name="Accent2 3 5" xfId="3483" xr:uid="{00000000-0005-0000-0000-00009B0D0000}"/>
    <cellStyle name="Accent2 3 5 2" xfId="3484" xr:uid="{00000000-0005-0000-0000-00009C0D0000}"/>
    <cellStyle name="Accent2 3 5 2 2" xfId="3485" xr:uid="{00000000-0005-0000-0000-00009D0D0000}"/>
    <cellStyle name="Accent2 3 5 3" xfId="3486" xr:uid="{00000000-0005-0000-0000-00009E0D0000}"/>
    <cellStyle name="Accent2 3 5 3 2" xfId="3487" xr:uid="{00000000-0005-0000-0000-00009F0D0000}"/>
    <cellStyle name="Accent2 3 5 3 2 2" xfId="3488" xr:uid="{00000000-0005-0000-0000-0000A00D0000}"/>
    <cellStyle name="Accent2 3 5 3 3" xfId="3489" xr:uid="{00000000-0005-0000-0000-0000A10D0000}"/>
    <cellStyle name="Accent2 3 5 4" xfId="3490" xr:uid="{00000000-0005-0000-0000-0000A20D0000}"/>
    <cellStyle name="Accent2 3 6" xfId="3491" xr:uid="{00000000-0005-0000-0000-0000A30D0000}"/>
    <cellStyle name="Accent2 3 6 2" xfId="3492" xr:uid="{00000000-0005-0000-0000-0000A40D0000}"/>
    <cellStyle name="Accent2 3 7" xfId="3493" xr:uid="{00000000-0005-0000-0000-0000A50D0000}"/>
    <cellStyle name="Accent2 3 7 2" xfId="3494" xr:uid="{00000000-0005-0000-0000-0000A60D0000}"/>
    <cellStyle name="Accent2 3 8" xfId="3495" xr:uid="{00000000-0005-0000-0000-0000A70D0000}"/>
    <cellStyle name="Accent2 3 8 2" xfId="3496" xr:uid="{00000000-0005-0000-0000-0000A80D0000}"/>
    <cellStyle name="Accent2 3 8 2 2" xfId="3497" xr:uid="{00000000-0005-0000-0000-0000A90D0000}"/>
    <cellStyle name="Accent2 3 8 3" xfId="3498" xr:uid="{00000000-0005-0000-0000-0000AA0D0000}"/>
    <cellStyle name="Accent2 3 9" xfId="3499" xr:uid="{00000000-0005-0000-0000-0000AB0D0000}"/>
    <cellStyle name="Accent2 3 9 2" xfId="3500" xr:uid="{00000000-0005-0000-0000-0000AC0D0000}"/>
    <cellStyle name="Accent2 3 9 2 2" xfId="3501" xr:uid="{00000000-0005-0000-0000-0000AD0D0000}"/>
    <cellStyle name="Accent2 3 9 3" xfId="3502" xr:uid="{00000000-0005-0000-0000-0000AE0D0000}"/>
    <cellStyle name="Accent2 30" xfId="3503" xr:uid="{00000000-0005-0000-0000-0000AF0D0000}"/>
    <cellStyle name="Accent2 30 2" xfId="3504" xr:uid="{00000000-0005-0000-0000-0000B00D0000}"/>
    <cellStyle name="Accent2 30 2 2" xfId="3505" xr:uid="{00000000-0005-0000-0000-0000B10D0000}"/>
    <cellStyle name="Accent2 30 3" xfId="3506" xr:uid="{00000000-0005-0000-0000-0000B20D0000}"/>
    <cellStyle name="Accent2 31" xfId="3507" xr:uid="{00000000-0005-0000-0000-0000B30D0000}"/>
    <cellStyle name="Accent2 31 2" xfId="3508" xr:uid="{00000000-0005-0000-0000-0000B40D0000}"/>
    <cellStyle name="Accent2 31 2 2" xfId="3509" xr:uid="{00000000-0005-0000-0000-0000B50D0000}"/>
    <cellStyle name="Accent2 31 3" xfId="3510" xr:uid="{00000000-0005-0000-0000-0000B60D0000}"/>
    <cellStyle name="Accent2 32" xfId="3511" xr:uid="{00000000-0005-0000-0000-0000B70D0000}"/>
    <cellStyle name="Accent2 32 2" xfId="3512" xr:uid="{00000000-0005-0000-0000-0000B80D0000}"/>
    <cellStyle name="Accent2 32 2 2" xfId="3513" xr:uid="{00000000-0005-0000-0000-0000B90D0000}"/>
    <cellStyle name="Accent2 32 3" xfId="3514" xr:uid="{00000000-0005-0000-0000-0000BA0D0000}"/>
    <cellStyle name="Accent2 33" xfId="3515" xr:uid="{00000000-0005-0000-0000-0000BB0D0000}"/>
    <cellStyle name="Accent2 33 2" xfId="3516" xr:uid="{00000000-0005-0000-0000-0000BC0D0000}"/>
    <cellStyle name="Accent2 33 2 2" xfId="3517" xr:uid="{00000000-0005-0000-0000-0000BD0D0000}"/>
    <cellStyle name="Accent2 33 3" xfId="3518" xr:uid="{00000000-0005-0000-0000-0000BE0D0000}"/>
    <cellStyle name="Accent2 34" xfId="3519" xr:uid="{00000000-0005-0000-0000-0000BF0D0000}"/>
    <cellStyle name="Accent2 34 2" xfId="3520" xr:uid="{00000000-0005-0000-0000-0000C00D0000}"/>
    <cellStyle name="Accent2 34 2 2" xfId="3521" xr:uid="{00000000-0005-0000-0000-0000C10D0000}"/>
    <cellStyle name="Accent2 34 3" xfId="3522" xr:uid="{00000000-0005-0000-0000-0000C20D0000}"/>
    <cellStyle name="Accent2 35" xfId="3523" xr:uid="{00000000-0005-0000-0000-0000C30D0000}"/>
    <cellStyle name="Accent2 35 2" xfId="3524" xr:uid="{00000000-0005-0000-0000-0000C40D0000}"/>
    <cellStyle name="Accent2 35 2 2" xfId="3525" xr:uid="{00000000-0005-0000-0000-0000C50D0000}"/>
    <cellStyle name="Accent2 35 3" xfId="3526" xr:uid="{00000000-0005-0000-0000-0000C60D0000}"/>
    <cellStyle name="Accent2 36" xfId="3527" xr:uid="{00000000-0005-0000-0000-0000C70D0000}"/>
    <cellStyle name="Accent2 36 2" xfId="3528" xr:uid="{00000000-0005-0000-0000-0000C80D0000}"/>
    <cellStyle name="Accent2 36 2 2" xfId="3529" xr:uid="{00000000-0005-0000-0000-0000C90D0000}"/>
    <cellStyle name="Accent2 36 3" xfId="3530" xr:uid="{00000000-0005-0000-0000-0000CA0D0000}"/>
    <cellStyle name="Accent2 37" xfId="3531" xr:uid="{00000000-0005-0000-0000-0000CB0D0000}"/>
    <cellStyle name="Accent2 37 2" xfId="3532" xr:uid="{00000000-0005-0000-0000-0000CC0D0000}"/>
    <cellStyle name="Accent2 37 2 2" xfId="3533" xr:uid="{00000000-0005-0000-0000-0000CD0D0000}"/>
    <cellStyle name="Accent2 37 3" xfId="3534" xr:uid="{00000000-0005-0000-0000-0000CE0D0000}"/>
    <cellStyle name="Accent2 38" xfId="3535" xr:uid="{00000000-0005-0000-0000-0000CF0D0000}"/>
    <cellStyle name="Accent2 38 2" xfId="3536" xr:uid="{00000000-0005-0000-0000-0000D00D0000}"/>
    <cellStyle name="Accent2 38 2 2" xfId="3537" xr:uid="{00000000-0005-0000-0000-0000D10D0000}"/>
    <cellStyle name="Accent2 38 3" xfId="3538" xr:uid="{00000000-0005-0000-0000-0000D20D0000}"/>
    <cellStyle name="Accent2 39" xfId="3539" xr:uid="{00000000-0005-0000-0000-0000D30D0000}"/>
    <cellStyle name="Accent2 39 2" xfId="3540" xr:uid="{00000000-0005-0000-0000-0000D40D0000}"/>
    <cellStyle name="Accent2 39 2 2" xfId="3541" xr:uid="{00000000-0005-0000-0000-0000D50D0000}"/>
    <cellStyle name="Accent2 39 3" xfId="3542" xr:uid="{00000000-0005-0000-0000-0000D60D0000}"/>
    <cellStyle name="Accent2 4" xfId="3543" xr:uid="{00000000-0005-0000-0000-0000D70D0000}"/>
    <cellStyle name="Accent2 4 2" xfId="3544" xr:uid="{00000000-0005-0000-0000-0000D80D0000}"/>
    <cellStyle name="Accent2 4 2 2" xfId="3545" xr:uid="{00000000-0005-0000-0000-0000D90D0000}"/>
    <cellStyle name="Accent2 4 2 2 2" xfId="3546" xr:uid="{00000000-0005-0000-0000-0000DA0D0000}"/>
    <cellStyle name="Accent2 4 2 3" xfId="3547" xr:uid="{00000000-0005-0000-0000-0000DB0D0000}"/>
    <cellStyle name="Accent2 4 2 3 2" xfId="3548" xr:uid="{00000000-0005-0000-0000-0000DC0D0000}"/>
    <cellStyle name="Accent2 4 2 3 2 2" xfId="3549" xr:uid="{00000000-0005-0000-0000-0000DD0D0000}"/>
    <cellStyle name="Accent2 4 2 3 3" xfId="3550" xr:uid="{00000000-0005-0000-0000-0000DE0D0000}"/>
    <cellStyle name="Accent2 4 2 4" xfId="3551" xr:uid="{00000000-0005-0000-0000-0000DF0D0000}"/>
    <cellStyle name="Accent2 4 3" xfId="3552" xr:uid="{00000000-0005-0000-0000-0000E00D0000}"/>
    <cellStyle name="Accent2 4 3 2" xfId="3553" xr:uid="{00000000-0005-0000-0000-0000E10D0000}"/>
    <cellStyle name="Accent2 4 3 2 2" xfId="3554" xr:uid="{00000000-0005-0000-0000-0000E20D0000}"/>
    <cellStyle name="Accent2 4 3 3" xfId="3555" xr:uid="{00000000-0005-0000-0000-0000E30D0000}"/>
    <cellStyle name="Accent2 4 3 3 2" xfId="3556" xr:uid="{00000000-0005-0000-0000-0000E40D0000}"/>
    <cellStyle name="Accent2 4 3 3 2 2" xfId="3557" xr:uid="{00000000-0005-0000-0000-0000E50D0000}"/>
    <cellStyle name="Accent2 4 3 3 3" xfId="3558" xr:uid="{00000000-0005-0000-0000-0000E60D0000}"/>
    <cellStyle name="Accent2 4 3 4" xfId="3559" xr:uid="{00000000-0005-0000-0000-0000E70D0000}"/>
    <cellStyle name="Accent2 4 4" xfId="3560" xr:uid="{00000000-0005-0000-0000-0000E80D0000}"/>
    <cellStyle name="Accent2 4 4 2" xfId="3561" xr:uid="{00000000-0005-0000-0000-0000E90D0000}"/>
    <cellStyle name="Accent2 4 4 2 2" xfId="3562" xr:uid="{00000000-0005-0000-0000-0000EA0D0000}"/>
    <cellStyle name="Accent2 4 4 3" xfId="3563" xr:uid="{00000000-0005-0000-0000-0000EB0D0000}"/>
    <cellStyle name="Accent2 4 5" xfId="3564" xr:uid="{00000000-0005-0000-0000-0000EC0D0000}"/>
    <cellStyle name="Accent2 4 5 2" xfId="3565" xr:uid="{00000000-0005-0000-0000-0000ED0D0000}"/>
    <cellStyle name="Accent2 4 6" xfId="3566" xr:uid="{00000000-0005-0000-0000-0000EE0D0000}"/>
    <cellStyle name="Accent2 4 6 2" xfId="3567" xr:uid="{00000000-0005-0000-0000-0000EF0D0000}"/>
    <cellStyle name="Accent2 4 7" xfId="3568" xr:uid="{00000000-0005-0000-0000-0000F00D0000}"/>
    <cellStyle name="Accent2 40" xfId="3569" xr:uid="{00000000-0005-0000-0000-0000F10D0000}"/>
    <cellStyle name="Accent2 40 2" xfId="3570" xr:uid="{00000000-0005-0000-0000-0000F20D0000}"/>
    <cellStyle name="Accent2 40 2 2" xfId="3571" xr:uid="{00000000-0005-0000-0000-0000F30D0000}"/>
    <cellStyle name="Accent2 40 3" xfId="3572" xr:uid="{00000000-0005-0000-0000-0000F40D0000}"/>
    <cellStyle name="Accent2 41" xfId="3573" xr:uid="{00000000-0005-0000-0000-0000F50D0000}"/>
    <cellStyle name="Accent2 41 2" xfId="3574" xr:uid="{00000000-0005-0000-0000-0000F60D0000}"/>
    <cellStyle name="Accent2 41 2 2" xfId="3575" xr:uid="{00000000-0005-0000-0000-0000F70D0000}"/>
    <cellStyle name="Accent2 41 3" xfId="3576" xr:uid="{00000000-0005-0000-0000-0000F80D0000}"/>
    <cellStyle name="Accent2 42" xfId="3577" xr:uid="{00000000-0005-0000-0000-0000F90D0000}"/>
    <cellStyle name="Accent2 42 2" xfId="3578" xr:uid="{00000000-0005-0000-0000-0000FA0D0000}"/>
    <cellStyle name="Accent2 42 2 2" xfId="3579" xr:uid="{00000000-0005-0000-0000-0000FB0D0000}"/>
    <cellStyle name="Accent2 42 3" xfId="3580" xr:uid="{00000000-0005-0000-0000-0000FC0D0000}"/>
    <cellStyle name="Accent2 43" xfId="3581" xr:uid="{00000000-0005-0000-0000-0000FD0D0000}"/>
    <cellStyle name="Accent2 43 2" xfId="3582" xr:uid="{00000000-0005-0000-0000-0000FE0D0000}"/>
    <cellStyle name="Accent2 43 2 2" xfId="3583" xr:uid="{00000000-0005-0000-0000-0000FF0D0000}"/>
    <cellStyle name="Accent2 43 3" xfId="3584" xr:uid="{00000000-0005-0000-0000-0000000E0000}"/>
    <cellStyle name="Accent2 44" xfId="3585" xr:uid="{00000000-0005-0000-0000-0000010E0000}"/>
    <cellStyle name="Accent2 44 2" xfId="3586" xr:uid="{00000000-0005-0000-0000-0000020E0000}"/>
    <cellStyle name="Accent2 44 2 2" xfId="3587" xr:uid="{00000000-0005-0000-0000-0000030E0000}"/>
    <cellStyle name="Accent2 44 3" xfId="3588" xr:uid="{00000000-0005-0000-0000-0000040E0000}"/>
    <cellStyle name="Accent2 45" xfId="3589" xr:uid="{00000000-0005-0000-0000-0000050E0000}"/>
    <cellStyle name="Accent2 45 2" xfId="3590" xr:uid="{00000000-0005-0000-0000-0000060E0000}"/>
    <cellStyle name="Accent2 45 2 2" xfId="3591" xr:uid="{00000000-0005-0000-0000-0000070E0000}"/>
    <cellStyle name="Accent2 45 3" xfId="3592" xr:uid="{00000000-0005-0000-0000-0000080E0000}"/>
    <cellStyle name="Accent2 46" xfId="3593" xr:uid="{00000000-0005-0000-0000-0000090E0000}"/>
    <cellStyle name="Accent2 46 2" xfId="3594" xr:uid="{00000000-0005-0000-0000-00000A0E0000}"/>
    <cellStyle name="Accent2 46 2 2" xfId="3595" xr:uid="{00000000-0005-0000-0000-00000B0E0000}"/>
    <cellStyle name="Accent2 46 3" xfId="3596" xr:uid="{00000000-0005-0000-0000-00000C0E0000}"/>
    <cellStyle name="Accent2 47" xfId="3597" xr:uid="{00000000-0005-0000-0000-00000D0E0000}"/>
    <cellStyle name="Accent2 47 2" xfId="3598" xr:uid="{00000000-0005-0000-0000-00000E0E0000}"/>
    <cellStyle name="Accent2 47 2 2" xfId="3599" xr:uid="{00000000-0005-0000-0000-00000F0E0000}"/>
    <cellStyle name="Accent2 47 3" xfId="3600" xr:uid="{00000000-0005-0000-0000-0000100E0000}"/>
    <cellStyle name="Accent2 48" xfId="3601" xr:uid="{00000000-0005-0000-0000-0000110E0000}"/>
    <cellStyle name="Accent2 48 2" xfId="3602" xr:uid="{00000000-0005-0000-0000-0000120E0000}"/>
    <cellStyle name="Accent2 48 2 2" xfId="3603" xr:uid="{00000000-0005-0000-0000-0000130E0000}"/>
    <cellStyle name="Accent2 48 3" xfId="3604" xr:uid="{00000000-0005-0000-0000-0000140E0000}"/>
    <cellStyle name="Accent2 48 3 2" xfId="3605" xr:uid="{00000000-0005-0000-0000-0000150E0000}"/>
    <cellStyle name="Accent2 48 3 2 2" xfId="3606" xr:uid="{00000000-0005-0000-0000-0000160E0000}"/>
    <cellStyle name="Accent2 48 3 3" xfId="3607" xr:uid="{00000000-0005-0000-0000-0000170E0000}"/>
    <cellStyle name="Accent2 48 4" xfId="3608" xr:uid="{00000000-0005-0000-0000-0000180E0000}"/>
    <cellStyle name="Accent2 49" xfId="3609" xr:uid="{00000000-0005-0000-0000-0000190E0000}"/>
    <cellStyle name="Accent2 49 2" xfId="3610" xr:uid="{00000000-0005-0000-0000-00001A0E0000}"/>
    <cellStyle name="Accent2 49 2 2" xfId="3611" xr:uid="{00000000-0005-0000-0000-00001B0E0000}"/>
    <cellStyle name="Accent2 49 3" xfId="3612" xr:uid="{00000000-0005-0000-0000-00001C0E0000}"/>
    <cellStyle name="Accent2 49 3 2" xfId="3613" xr:uid="{00000000-0005-0000-0000-00001D0E0000}"/>
    <cellStyle name="Accent2 49 3 2 2" xfId="3614" xr:uid="{00000000-0005-0000-0000-00001E0E0000}"/>
    <cellStyle name="Accent2 49 3 3" xfId="3615" xr:uid="{00000000-0005-0000-0000-00001F0E0000}"/>
    <cellStyle name="Accent2 49 4" xfId="3616" xr:uid="{00000000-0005-0000-0000-0000200E0000}"/>
    <cellStyle name="Accent2 5" xfId="3617" xr:uid="{00000000-0005-0000-0000-0000210E0000}"/>
    <cellStyle name="Accent2 5 2" xfId="3618" xr:uid="{00000000-0005-0000-0000-0000220E0000}"/>
    <cellStyle name="Accent2 5 2 2" xfId="3619" xr:uid="{00000000-0005-0000-0000-0000230E0000}"/>
    <cellStyle name="Accent2 5 2 2 2" xfId="3620" xr:uid="{00000000-0005-0000-0000-0000240E0000}"/>
    <cellStyle name="Accent2 5 2 3" xfId="3621" xr:uid="{00000000-0005-0000-0000-0000250E0000}"/>
    <cellStyle name="Accent2 5 2 3 2" xfId="3622" xr:uid="{00000000-0005-0000-0000-0000260E0000}"/>
    <cellStyle name="Accent2 5 2 3 2 2" xfId="3623" xr:uid="{00000000-0005-0000-0000-0000270E0000}"/>
    <cellStyle name="Accent2 5 2 3 3" xfId="3624" xr:uid="{00000000-0005-0000-0000-0000280E0000}"/>
    <cellStyle name="Accent2 5 2 4" xfId="3625" xr:uid="{00000000-0005-0000-0000-0000290E0000}"/>
    <cellStyle name="Accent2 5 3" xfId="3626" xr:uid="{00000000-0005-0000-0000-00002A0E0000}"/>
    <cellStyle name="Accent2 5 3 2" xfId="3627" xr:uid="{00000000-0005-0000-0000-00002B0E0000}"/>
    <cellStyle name="Accent2 5 3 2 2" xfId="3628" xr:uid="{00000000-0005-0000-0000-00002C0E0000}"/>
    <cellStyle name="Accent2 5 3 3" xfId="3629" xr:uid="{00000000-0005-0000-0000-00002D0E0000}"/>
    <cellStyle name="Accent2 5 3 3 2" xfId="3630" xr:uid="{00000000-0005-0000-0000-00002E0E0000}"/>
    <cellStyle name="Accent2 5 3 3 2 2" xfId="3631" xr:uid="{00000000-0005-0000-0000-00002F0E0000}"/>
    <cellStyle name="Accent2 5 3 3 3" xfId="3632" xr:uid="{00000000-0005-0000-0000-0000300E0000}"/>
    <cellStyle name="Accent2 5 3 4" xfId="3633" xr:uid="{00000000-0005-0000-0000-0000310E0000}"/>
    <cellStyle name="Accent2 5 4" xfId="3634" xr:uid="{00000000-0005-0000-0000-0000320E0000}"/>
    <cellStyle name="Accent2 5 4 2" xfId="3635" xr:uid="{00000000-0005-0000-0000-0000330E0000}"/>
    <cellStyle name="Accent2 5 5" xfId="3636" xr:uid="{00000000-0005-0000-0000-0000340E0000}"/>
    <cellStyle name="Accent2 5 5 2" xfId="3637" xr:uid="{00000000-0005-0000-0000-0000350E0000}"/>
    <cellStyle name="Accent2 5 6" xfId="3638" xr:uid="{00000000-0005-0000-0000-0000360E0000}"/>
    <cellStyle name="Accent2 50" xfId="3639" xr:uid="{00000000-0005-0000-0000-0000370E0000}"/>
    <cellStyle name="Accent2 50 2" xfId="3640" xr:uid="{00000000-0005-0000-0000-0000380E0000}"/>
    <cellStyle name="Accent2 50 2 2" xfId="3641" xr:uid="{00000000-0005-0000-0000-0000390E0000}"/>
    <cellStyle name="Accent2 50 3" xfId="3642" xr:uid="{00000000-0005-0000-0000-00003A0E0000}"/>
    <cellStyle name="Accent2 50 3 2" xfId="3643" xr:uid="{00000000-0005-0000-0000-00003B0E0000}"/>
    <cellStyle name="Accent2 50 3 2 2" xfId="3644" xr:uid="{00000000-0005-0000-0000-00003C0E0000}"/>
    <cellStyle name="Accent2 50 3 3" xfId="3645" xr:uid="{00000000-0005-0000-0000-00003D0E0000}"/>
    <cellStyle name="Accent2 50 4" xfId="3646" xr:uid="{00000000-0005-0000-0000-00003E0E0000}"/>
    <cellStyle name="Accent2 51" xfId="3647" xr:uid="{00000000-0005-0000-0000-00003F0E0000}"/>
    <cellStyle name="Accent2 51 2" xfId="3648" xr:uid="{00000000-0005-0000-0000-0000400E0000}"/>
    <cellStyle name="Accent2 51 2 2" xfId="3649" xr:uid="{00000000-0005-0000-0000-0000410E0000}"/>
    <cellStyle name="Accent2 51 3" xfId="3650" xr:uid="{00000000-0005-0000-0000-0000420E0000}"/>
    <cellStyle name="Accent2 51 3 2" xfId="3651" xr:uid="{00000000-0005-0000-0000-0000430E0000}"/>
    <cellStyle name="Accent2 51 3 2 2" xfId="3652" xr:uid="{00000000-0005-0000-0000-0000440E0000}"/>
    <cellStyle name="Accent2 51 3 3" xfId="3653" xr:uid="{00000000-0005-0000-0000-0000450E0000}"/>
    <cellStyle name="Accent2 51 4" xfId="3654" xr:uid="{00000000-0005-0000-0000-0000460E0000}"/>
    <cellStyle name="Accent2 52" xfId="3655" xr:uid="{00000000-0005-0000-0000-0000470E0000}"/>
    <cellStyle name="Accent2 52 2" xfId="3656" xr:uid="{00000000-0005-0000-0000-0000480E0000}"/>
    <cellStyle name="Accent2 52 2 2" xfId="3657" xr:uid="{00000000-0005-0000-0000-0000490E0000}"/>
    <cellStyle name="Accent2 52 3" xfId="3658" xr:uid="{00000000-0005-0000-0000-00004A0E0000}"/>
    <cellStyle name="Accent2 53" xfId="3659" xr:uid="{00000000-0005-0000-0000-00004B0E0000}"/>
    <cellStyle name="Accent2 53 2" xfId="3660" xr:uid="{00000000-0005-0000-0000-00004C0E0000}"/>
    <cellStyle name="Accent2 53 2 2" xfId="3661" xr:uid="{00000000-0005-0000-0000-00004D0E0000}"/>
    <cellStyle name="Accent2 53 3" xfId="3662" xr:uid="{00000000-0005-0000-0000-00004E0E0000}"/>
    <cellStyle name="Accent2 54" xfId="3663" xr:uid="{00000000-0005-0000-0000-00004F0E0000}"/>
    <cellStyle name="Accent2 54 2" xfId="3664" xr:uid="{00000000-0005-0000-0000-0000500E0000}"/>
    <cellStyle name="Accent2 54 2 2" xfId="3665" xr:uid="{00000000-0005-0000-0000-0000510E0000}"/>
    <cellStyle name="Accent2 54 3" xfId="3666" xr:uid="{00000000-0005-0000-0000-0000520E0000}"/>
    <cellStyle name="Accent2 55" xfId="3667" xr:uid="{00000000-0005-0000-0000-0000530E0000}"/>
    <cellStyle name="Accent2 55 2" xfId="3668" xr:uid="{00000000-0005-0000-0000-0000540E0000}"/>
    <cellStyle name="Accent2 55 2 2" xfId="3669" xr:uid="{00000000-0005-0000-0000-0000550E0000}"/>
    <cellStyle name="Accent2 55 3" xfId="3670" xr:uid="{00000000-0005-0000-0000-0000560E0000}"/>
    <cellStyle name="Accent2 56" xfId="3671" xr:uid="{00000000-0005-0000-0000-0000570E0000}"/>
    <cellStyle name="Accent2 56 2" xfId="3672" xr:uid="{00000000-0005-0000-0000-0000580E0000}"/>
    <cellStyle name="Accent2 56 2 2" xfId="3673" xr:uid="{00000000-0005-0000-0000-0000590E0000}"/>
    <cellStyle name="Accent2 56 3" xfId="3674" xr:uid="{00000000-0005-0000-0000-00005A0E0000}"/>
    <cellStyle name="Accent2 57" xfId="3675" xr:uid="{00000000-0005-0000-0000-00005B0E0000}"/>
    <cellStyle name="Accent2 57 2" xfId="3676" xr:uid="{00000000-0005-0000-0000-00005C0E0000}"/>
    <cellStyle name="Accent2 57 2 2" xfId="3677" xr:uid="{00000000-0005-0000-0000-00005D0E0000}"/>
    <cellStyle name="Accent2 57 3" xfId="3678" xr:uid="{00000000-0005-0000-0000-00005E0E0000}"/>
    <cellStyle name="Accent2 58" xfId="3679" xr:uid="{00000000-0005-0000-0000-00005F0E0000}"/>
    <cellStyle name="Accent2 58 2" xfId="3680" xr:uid="{00000000-0005-0000-0000-0000600E0000}"/>
    <cellStyle name="Accent2 58 2 2" xfId="3681" xr:uid="{00000000-0005-0000-0000-0000610E0000}"/>
    <cellStyle name="Accent2 58 3" xfId="3682" xr:uid="{00000000-0005-0000-0000-0000620E0000}"/>
    <cellStyle name="Accent2 58 3 2" xfId="3683" xr:uid="{00000000-0005-0000-0000-0000630E0000}"/>
    <cellStyle name="Accent2 58 3 2 2" xfId="3684" xr:uid="{00000000-0005-0000-0000-0000640E0000}"/>
    <cellStyle name="Accent2 58 3 3" xfId="3685" xr:uid="{00000000-0005-0000-0000-0000650E0000}"/>
    <cellStyle name="Accent2 58 4" xfId="3686" xr:uid="{00000000-0005-0000-0000-0000660E0000}"/>
    <cellStyle name="Accent2 59" xfId="3687" xr:uid="{00000000-0005-0000-0000-0000670E0000}"/>
    <cellStyle name="Accent2 59 2" xfId="3688" xr:uid="{00000000-0005-0000-0000-0000680E0000}"/>
    <cellStyle name="Accent2 59 2 2" xfId="3689" xr:uid="{00000000-0005-0000-0000-0000690E0000}"/>
    <cellStyle name="Accent2 59 3" xfId="3690" xr:uid="{00000000-0005-0000-0000-00006A0E0000}"/>
    <cellStyle name="Accent2 59 3 2" xfId="3691" xr:uid="{00000000-0005-0000-0000-00006B0E0000}"/>
    <cellStyle name="Accent2 59 3 2 2" xfId="3692" xr:uid="{00000000-0005-0000-0000-00006C0E0000}"/>
    <cellStyle name="Accent2 59 3 3" xfId="3693" xr:uid="{00000000-0005-0000-0000-00006D0E0000}"/>
    <cellStyle name="Accent2 59 4" xfId="3694" xr:uid="{00000000-0005-0000-0000-00006E0E0000}"/>
    <cellStyle name="Accent2 6" xfId="3695" xr:uid="{00000000-0005-0000-0000-00006F0E0000}"/>
    <cellStyle name="Accent2 6 2" xfId="3696" xr:uid="{00000000-0005-0000-0000-0000700E0000}"/>
    <cellStyle name="Accent2 6 2 2" xfId="3697" xr:uid="{00000000-0005-0000-0000-0000710E0000}"/>
    <cellStyle name="Accent2 6 2 2 2" xfId="3698" xr:uid="{00000000-0005-0000-0000-0000720E0000}"/>
    <cellStyle name="Accent2 6 2 3" xfId="3699" xr:uid="{00000000-0005-0000-0000-0000730E0000}"/>
    <cellStyle name="Accent2 6 2 3 2" xfId="3700" xr:uid="{00000000-0005-0000-0000-0000740E0000}"/>
    <cellStyle name="Accent2 6 2 3 2 2" xfId="3701" xr:uid="{00000000-0005-0000-0000-0000750E0000}"/>
    <cellStyle name="Accent2 6 2 3 3" xfId="3702" xr:uid="{00000000-0005-0000-0000-0000760E0000}"/>
    <cellStyle name="Accent2 6 2 4" xfId="3703" xr:uid="{00000000-0005-0000-0000-0000770E0000}"/>
    <cellStyle name="Accent2 6 3" xfId="3704" xr:uid="{00000000-0005-0000-0000-0000780E0000}"/>
    <cellStyle name="Accent2 6 3 2" xfId="3705" xr:uid="{00000000-0005-0000-0000-0000790E0000}"/>
    <cellStyle name="Accent2 6 4" xfId="3706" xr:uid="{00000000-0005-0000-0000-00007A0E0000}"/>
    <cellStyle name="Accent2 60" xfId="3707" xr:uid="{00000000-0005-0000-0000-00007B0E0000}"/>
    <cellStyle name="Accent2 60 2" xfId="3708" xr:uid="{00000000-0005-0000-0000-00007C0E0000}"/>
    <cellStyle name="Accent2 60 2 2" xfId="3709" xr:uid="{00000000-0005-0000-0000-00007D0E0000}"/>
    <cellStyle name="Accent2 60 3" xfId="3710" xr:uid="{00000000-0005-0000-0000-00007E0E0000}"/>
    <cellStyle name="Accent2 60 3 2" xfId="3711" xr:uid="{00000000-0005-0000-0000-00007F0E0000}"/>
    <cellStyle name="Accent2 60 3 2 2" xfId="3712" xr:uid="{00000000-0005-0000-0000-0000800E0000}"/>
    <cellStyle name="Accent2 60 3 3" xfId="3713" xr:uid="{00000000-0005-0000-0000-0000810E0000}"/>
    <cellStyle name="Accent2 60 4" xfId="3714" xr:uid="{00000000-0005-0000-0000-0000820E0000}"/>
    <cellStyle name="Accent2 61" xfId="3715" xr:uid="{00000000-0005-0000-0000-0000830E0000}"/>
    <cellStyle name="Accent2 61 2" xfId="3716" xr:uid="{00000000-0005-0000-0000-0000840E0000}"/>
    <cellStyle name="Accent2 61 2 2" xfId="3717" xr:uid="{00000000-0005-0000-0000-0000850E0000}"/>
    <cellStyle name="Accent2 61 3" xfId="3718" xr:uid="{00000000-0005-0000-0000-0000860E0000}"/>
    <cellStyle name="Accent2 61 3 2" xfId="3719" xr:uid="{00000000-0005-0000-0000-0000870E0000}"/>
    <cellStyle name="Accent2 61 3 2 2" xfId="3720" xr:uid="{00000000-0005-0000-0000-0000880E0000}"/>
    <cellStyle name="Accent2 61 3 3" xfId="3721" xr:uid="{00000000-0005-0000-0000-0000890E0000}"/>
    <cellStyle name="Accent2 61 4" xfId="3722" xr:uid="{00000000-0005-0000-0000-00008A0E0000}"/>
    <cellStyle name="Accent2 62" xfId="3723" xr:uid="{00000000-0005-0000-0000-00008B0E0000}"/>
    <cellStyle name="Accent2 62 2" xfId="3724" xr:uid="{00000000-0005-0000-0000-00008C0E0000}"/>
    <cellStyle name="Accent2 62 2 2" xfId="3725" xr:uid="{00000000-0005-0000-0000-00008D0E0000}"/>
    <cellStyle name="Accent2 62 3" xfId="3726" xr:uid="{00000000-0005-0000-0000-00008E0E0000}"/>
    <cellStyle name="Accent2 62 3 2" xfId="3727" xr:uid="{00000000-0005-0000-0000-00008F0E0000}"/>
    <cellStyle name="Accent2 62 3 2 2" xfId="3728" xr:uid="{00000000-0005-0000-0000-0000900E0000}"/>
    <cellStyle name="Accent2 62 3 3" xfId="3729" xr:uid="{00000000-0005-0000-0000-0000910E0000}"/>
    <cellStyle name="Accent2 62 4" xfId="3730" xr:uid="{00000000-0005-0000-0000-0000920E0000}"/>
    <cellStyle name="Accent2 63" xfId="3731" xr:uid="{00000000-0005-0000-0000-0000930E0000}"/>
    <cellStyle name="Accent2 63 2" xfId="3732" xr:uid="{00000000-0005-0000-0000-0000940E0000}"/>
    <cellStyle name="Accent2 63 2 2" xfId="3733" xr:uid="{00000000-0005-0000-0000-0000950E0000}"/>
    <cellStyle name="Accent2 63 3" xfId="3734" xr:uid="{00000000-0005-0000-0000-0000960E0000}"/>
    <cellStyle name="Accent2 63 3 2" xfId="3735" xr:uid="{00000000-0005-0000-0000-0000970E0000}"/>
    <cellStyle name="Accent2 63 3 2 2" xfId="3736" xr:uid="{00000000-0005-0000-0000-0000980E0000}"/>
    <cellStyle name="Accent2 63 3 3" xfId="3737" xr:uid="{00000000-0005-0000-0000-0000990E0000}"/>
    <cellStyle name="Accent2 63 4" xfId="3738" xr:uid="{00000000-0005-0000-0000-00009A0E0000}"/>
    <cellStyle name="Accent2 64" xfId="3739" xr:uid="{00000000-0005-0000-0000-00009B0E0000}"/>
    <cellStyle name="Accent2 64 2" xfId="3740" xr:uid="{00000000-0005-0000-0000-00009C0E0000}"/>
    <cellStyle name="Accent2 64 2 2" xfId="3741" xr:uid="{00000000-0005-0000-0000-00009D0E0000}"/>
    <cellStyle name="Accent2 64 3" xfId="3742" xr:uid="{00000000-0005-0000-0000-00009E0E0000}"/>
    <cellStyle name="Accent2 64 3 2" xfId="3743" xr:uid="{00000000-0005-0000-0000-00009F0E0000}"/>
    <cellStyle name="Accent2 64 3 2 2" xfId="3744" xr:uid="{00000000-0005-0000-0000-0000A00E0000}"/>
    <cellStyle name="Accent2 64 3 3" xfId="3745" xr:uid="{00000000-0005-0000-0000-0000A10E0000}"/>
    <cellStyle name="Accent2 64 4" xfId="3746" xr:uid="{00000000-0005-0000-0000-0000A20E0000}"/>
    <cellStyle name="Accent2 65" xfId="3747" xr:uid="{00000000-0005-0000-0000-0000A30E0000}"/>
    <cellStyle name="Accent2 65 2" xfId="3748" xr:uid="{00000000-0005-0000-0000-0000A40E0000}"/>
    <cellStyle name="Accent2 65 2 2" xfId="3749" xr:uid="{00000000-0005-0000-0000-0000A50E0000}"/>
    <cellStyle name="Accent2 65 3" xfId="3750" xr:uid="{00000000-0005-0000-0000-0000A60E0000}"/>
    <cellStyle name="Accent2 65 3 2" xfId="3751" xr:uid="{00000000-0005-0000-0000-0000A70E0000}"/>
    <cellStyle name="Accent2 65 3 2 2" xfId="3752" xr:uid="{00000000-0005-0000-0000-0000A80E0000}"/>
    <cellStyle name="Accent2 65 3 3" xfId="3753" xr:uid="{00000000-0005-0000-0000-0000A90E0000}"/>
    <cellStyle name="Accent2 65 4" xfId="3754" xr:uid="{00000000-0005-0000-0000-0000AA0E0000}"/>
    <cellStyle name="Accent2 66" xfId="3755" xr:uid="{00000000-0005-0000-0000-0000AB0E0000}"/>
    <cellStyle name="Accent2 66 2" xfId="3756" xr:uid="{00000000-0005-0000-0000-0000AC0E0000}"/>
    <cellStyle name="Accent2 66 2 2" xfId="3757" xr:uid="{00000000-0005-0000-0000-0000AD0E0000}"/>
    <cellStyle name="Accent2 66 3" xfId="3758" xr:uid="{00000000-0005-0000-0000-0000AE0E0000}"/>
    <cellStyle name="Accent2 66 3 2" xfId="3759" xr:uid="{00000000-0005-0000-0000-0000AF0E0000}"/>
    <cellStyle name="Accent2 66 3 2 2" xfId="3760" xr:uid="{00000000-0005-0000-0000-0000B00E0000}"/>
    <cellStyle name="Accent2 66 3 3" xfId="3761" xr:uid="{00000000-0005-0000-0000-0000B10E0000}"/>
    <cellStyle name="Accent2 66 4" xfId="3762" xr:uid="{00000000-0005-0000-0000-0000B20E0000}"/>
    <cellStyle name="Accent2 67" xfId="3763" xr:uid="{00000000-0005-0000-0000-0000B30E0000}"/>
    <cellStyle name="Accent2 67 2" xfId="3764" xr:uid="{00000000-0005-0000-0000-0000B40E0000}"/>
    <cellStyle name="Accent2 67 2 2" xfId="3765" xr:uid="{00000000-0005-0000-0000-0000B50E0000}"/>
    <cellStyle name="Accent2 67 3" xfId="3766" xr:uid="{00000000-0005-0000-0000-0000B60E0000}"/>
    <cellStyle name="Accent2 67 3 2" xfId="3767" xr:uid="{00000000-0005-0000-0000-0000B70E0000}"/>
    <cellStyle name="Accent2 67 3 2 2" xfId="3768" xr:uid="{00000000-0005-0000-0000-0000B80E0000}"/>
    <cellStyle name="Accent2 67 3 3" xfId="3769" xr:uid="{00000000-0005-0000-0000-0000B90E0000}"/>
    <cellStyle name="Accent2 67 4" xfId="3770" xr:uid="{00000000-0005-0000-0000-0000BA0E0000}"/>
    <cellStyle name="Accent2 68" xfId="3771" xr:uid="{00000000-0005-0000-0000-0000BB0E0000}"/>
    <cellStyle name="Accent2 68 2" xfId="3772" xr:uid="{00000000-0005-0000-0000-0000BC0E0000}"/>
    <cellStyle name="Accent2 68 2 2" xfId="3773" xr:uid="{00000000-0005-0000-0000-0000BD0E0000}"/>
    <cellStyle name="Accent2 68 3" xfId="3774" xr:uid="{00000000-0005-0000-0000-0000BE0E0000}"/>
    <cellStyle name="Accent2 68 3 2" xfId="3775" xr:uid="{00000000-0005-0000-0000-0000BF0E0000}"/>
    <cellStyle name="Accent2 68 3 2 2" xfId="3776" xr:uid="{00000000-0005-0000-0000-0000C00E0000}"/>
    <cellStyle name="Accent2 68 3 3" xfId="3777" xr:uid="{00000000-0005-0000-0000-0000C10E0000}"/>
    <cellStyle name="Accent2 68 4" xfId="3778" xr:uid="{00000000-0005-0000-0000-0000C20E0000}"/>
    <cellStyle name="Accent2 69" xfId="3779" xr:uid="{00000000-0005-0000-0000-0000C30E0000}"/>
    <cellStyle name="Accent2 69 2" xfId="3780" xr:uid="{00000000-0005-0000-0000-0000C40E0000}"/>
    <cellStyle name="Accent2 69 2 2" xfId="3781" xr:uid="{00000000-0005-0000-0000-0000C50E0000}"/>
    <cellStyle name="Accent2 69 3" xfId="3782" xr:uid="{00000000-0005-0000-0000-0000C60E0000}"/>
    <cellStyle name="Accent2 69 3 2" xfId="3783" xr:uid="{00000000-0005-0000-0000-0000C70E0000}"/>
    <cellStyle name="Accent2 69 3 2 2" xfId="3784" xr:uid="{00000000-0005-0000-0000-0000C80E0000}"/>
    <cellStyle name="Accent2 69 3 3" xfId="3785" xr:uid="{00000000-0005-0000-0000-0000C90E0000}"/>
    <cellStyle name="Accent2 69 4" xfId="3786" xr:uid="{00000000-0005-0000-0000-0000CA0E0000}"/>
    <cellStyle name="Accent2 7" xfId="3787" xr:uid="{00000000-0005-0000-0000-0000CB0E0000}"/>
    <cellStyle name="Accent2 7 2" xfId="3788" xr:uid="{00000000-0005-0000-0000-0000CC0E0000}"/>
    <cellStyle name="Accent2 7 2 2" xfId="3789" xr:uid="{00000000-0005-0000-0000-0000CD0E0000}"/>
    <cellStyle name="Accent2 7 2 2 2" xfId="3790" xr:uid="{00000000-0005-0000-0000-0000CE0E0000}"/>
    <cellStyle name="Accent2 7 2 3" xfId="3791" xr:uid="{00000000-0005-0000-0000-0000CF0E0000}"/>
    <cellStyle name="Accent2 7 2 3 2" xfId="3792" xr:uid="{00000000-0005-0000-0000-0000D00E0000}"/>
    <cellStyle name="Accent2 7 2 3 2 2" xfId="3793" xr:uid="{00000000-0005-0000-0000-0000D10E0000}"/>
    <cellStyle name="Accent2 7 2 3 3" xfId="3794" xr:uid="{00000000-0005-0000-0000-0000D20E0000}"/>
    <cellStyle name="Accent2 7 2 4" xfId="3795" xr:uid="{00000000-0005-0000-0000-0000D30E0000}"/>
    <cellStyle name="Accent2 7 3" xfId="3796" xr:uid="{00000000-0005-0000-0000-0000D40E0000}"/>
    <cellStyle name="Accent2 7 3 2" xfId="3797" xr:uid="{00000000-0005-0000-0000-0000D50E0000}"/>
    <cellStyle name="Accent2 7 4" xfId="3798" xr:uid="{00000000-0005-0000-0000-0000D60E0000}"/>
    <cellStyle name="Accent2 70" xfId="3799" xr:uid="{00000000-0005-0000-0000-0000D70E0000}"/>
    <cellStyle name="Accent2 70 2" xfId="3800" xr:uid="{00000000-0005-0000-0000-0000D80E0000}"/>
    <cellStyle name="Accent2 70 2 2" xfId="3801" xr:uid="{00000000-0005-0000-0000-0000D90E0000}"/>
    <cellStyle name="Accent2 70 3" xfId="3802" xr:uid="{00000000-0005-0000-0000-0000DA0E0000}"/>
    <cellStyle name="Accent2 70 3 2" xfId="3803" xr:uid="{00000000-0005-0000-0000-0000DB0E0000}"/>
    <cellStyle name="Accent2 70 3 2 2" xfId="3804" xr:uid="{00000000-0005-0000-0000-0000DC0E0000}"/>
    <cellStyle name="Accent2 70 3 3" xfId="3805" xr:uid="{00000000-0005-0000-0000-0000DD0E0000}"/>
    <cellStyle name="Accent2 70 4" xfId="3806" xr:uid="{00000000-0005-0000-0000-0000DE0E0000}"/>
    <cellStyle name="Accent2 71" xfId="3807" xr:uid="{00000000-0005-0000-0000-0000DF0E0000}"/>
    <cellStyle name="Accent2 71 2" xfId="3808" xr:uid="{00000000-0005-0000-0000-0000E00E0000}"/>
    <cellStyle name="Accent2 71 2 2" xfId="3809" xr:uid="{00000000-0005-0000-0000-0000E10E0000}"/>
    <cellStyle name="Accent2 71 3" xfId="3810" xr:uid="{00000000-0005-0000-0000-0000E20E0000}"/>
    <cellStyle name="Accent2 71 3 2" xfId="3811" xr:uid="{00000000-0005-0000-0000-0000E30E0000}"/>
    <cellStyle name="Accent2 71 3 2 2" xfId="3812" xr:uid="{00000000-0005-0000-0000-0000E40E0000}"/>
    <cellStyle name="Accent2 71 3 3" xfId="3813" xr:uid="{00000000-0005-0000-0000-0000E50E0000}"/>
    <cellStyle name="Accent2 71 4" xfId="3814" xr:uid="{00000000-0005-0000-0000-0000E60E0000}"/>
    <cellStyle name="Accent2 72" xfId="3815" xr:uid="{00000000-0005-0000-0000-0000E70E0000}"/>
    <cellStyle name="Accent2 72 2" xfId="3816" xr:uid="{00000000-0005-0000-0000-0000E80E0000}"/>
    <cellStyle name="Accent2 72 2 2" xfId="3817" xr:uid="{00000000-0005-0000-0000-0000E90E0000}"/>
    <cellStyle name="Accent2 72 3" xfId="3818" xr:uid="{00000000-0005-0000-0000-0000EA0E0000}"/>
    <cellStyle name="Accent2 72 3 2" xfId="3819" xr:uid="{00000000-0005-0000-0000-0000EB0E0000}"/>
    <cellStyle name="Accent2 72 3 2 2" xfId="3820" xr:uid="{00000000-0005-0000-0000-0000EC0E0000}"/>
    <cellStyle name="Accent2 72 3 3" xfId="3821" xr:uid="{00000000-0005-0000-0000-0000ED0E0000}"/>
    <cellStyle name="Accent2 72 4" xfId="3822" xr:uid="{00000000-0005-0000-0000-0000EE0E0000}"/>
    <cellStyle name="Accent2 73" xfId="3823" xr:uid="{00000000-0005-0000-0000-0000EF0E0000}"/>
    <cellStyle name="Accent2 73 2" xfId="3824" xr:uid="{00000000-0005-0000-0000-0000F00E0000}"/>
    <cellStyle name="Accent2 73 2 2" xfId="3825" xr:uid="{00000000-0005-0000-0000-0000F10E0000}"/>
    <cellStyle name="Accent2 73 3" xfId="3826" xr:uid="{00000000-0005-0000-0000-0000F20E0000}"/>
    <cellStyle name="Accent2 73 3 2" xfId="3827" xr:uid="{00000000-0005-0000-0000-0000F30E0000}"/>
    <cellStyle name="Accent2 73 3 2 2" xfId="3828" xr:uid="{00000000-0005-0000-0000-0000F40E0000}"/>
    <cellStyle name="Accent2 73 3 3" xfId="3829" xr:uid="{00000000-0005-0000-0000-0000F50E0000}"/>
    <cellStyle name="Accent2 73 4" xfId="3830" xr:uid="{00000000-0005-0000-0000-0000F60E0000}"/>
    <cellStyle name="Accent2 74" xfId="3831" xr:uid="{00000000-0005-0000-0000-0000F70E0000}"/>
    <cellStyle name="Accent2 74 2" xfId="3832" xr:uid="{00000000-0005-0000-0000-0000F80E0000}"/>
    <cellStyle name="Accent2 74 2 2" xfId="3833" xr:uid="{00000000-0005-0000-0000-0000F90E0000}"/>
    <cellStyle name="Accent2 74 3" xfId="3834" xr:uid="{00000000-0005-0000-0000-0000FA0E0000}"/>
    <cellStyle name="Accent2 74 3 2" xfId="3835" xr:uid="{00000000-0005-0000-0000-0000FB0E0000}"/>
    <cellStyle name="Accent2 74 3 2 2" xfId="3836" xr:uid="{00000000-0005-0000-0000-0000FC0E0000}"/>
    <cellStyle name="Accent2 74 3 3" xfId="3837" xr:uid="{00000000-0005-0000-0000-0000FD0E0000}"/>
    <cellStyle name="Accent2 74 4" xfId="3838" xr:uid="{00000000-0005-0000-0000-0000FE0E0000}"/>
    <cellStyle name="Accent2 75" xfId="3839" xr:uid="{00000000-0005-0000-0000-0000FF0E0000}"/>
    <cellStyle name="Accent2 75 2" xfId="3840" xr:uid="{00000000-0005-0000-0000-0000000F0000}"/>
    <cellStyle name="Accent2 75 2 2" xfId="3841" xr:uid="{00000000-0005-0000-0000-0000010F0000}"/>
    <cellStyle name="Accent2 75 3" xfId="3842" xr:uid="{00000000-0005-0000-0000-0000020F0000}"/>
    <cellStyle name="Accent2 75 3 2" xfId="3843" xr:uid="{00000000-0005-0000-0000-0000030F0000}"/>
    <cellStyle name="Accent2 75 3 2 2" xfId="3844" xr:uid="{00000000-0005-0000-0000-0000040F0000}"/>
    <cellStyle name="Accent2 75 3 3" xfId="3845" xr:uid="{00000000-0005-0000-0000-0000050F0000}"/>
    <cellStyle name="Accent2 75 4" xfId="3846" xr:uid="{00000000-0005-0000-0000-0000060F0000}"/>
    <cellStyle name="Accent2 76" xfId="3847" xr:uid="{00000000-0005-0000-0000-0000070F0000}"/>
    <cellStyle name="Accent2 76 2" xfId="3848" xr:uid="{00000000-0005-0000-0000-0000080F0000}"/>
    <cellStyle name="Accent2 76 2 2" xfId="3849" xr:uid="{00000000-0005-0000-0000-0000090F0000}"/>
    <cellStyle name="Accent2 76 3" xfId="3850" xr:uid="{00000000-0005-0000-0000-00000A0F0000}"/>
    <cellStyle name="Accent2 76 3 2" xfId="3851" xr:uid="{00000000-0005-0000-0000-00000B0F0000}"/>
    <cellStyle name="Accent2 76 3 2 2" xfId="3852" xr:uid="{00000000-0005-0000-0000-00000C0F0000}"/>
    <cellStyle name="Accent2 76 3 3" xfId="3853" xr:uid="{00000000-0005-0000-0000-00000D0F0000}"/>
    <cellStyle name="Accent2 76 4" xfId="3854" xr:uid="{00000000-0005-0000-0000-00000E0F0000}"/>
    <cellStyle name="Accent2 77" xfId="3855" xr:uid="{00000000-0005-0000-0000-00000F0F0000}"/>
    <cellStyle name="Accent2 77 2" xfId="3856" xr:uid="{00000000-0005-0000-0000-0000100F0000}"/>
    <cellStyle name="Accent2 77 2 2" xfId="3857" xr:uid="{00000000-0005-0000-0000-0000110F0000}"/>
    <cellStyle name="Accent2 77 3" xfId="3858" xr:uid="{00000000-0005-0000-0000-0000120F0000}"/>
    <cellStyle name="Accent2 77 3 2" xfId="3859" xr:uid="{00000000-0005-0000-0000-0000130F0000}"/>
    <cellStyle name="Accent2 77 3 2 2" xfId="3860" xr:uid="{00000000-0005-0000-0000-0000140F0000}"/>
    <cellStyle name="Accent2 77 3 3" xfId="3861" xr:uid="{00000000-0005-0000-0000-0000150F0000}"/>
    <cellStyle name="Accent2 77 4" xfId="3862" xr:uid="{00000000-0005-0000-0000-0000160F0000}"/>
    <cellStyle name="Accent2 78" xfId="3863" xr:uid="{00000000-0005-0000-0000-0000170F0000}"/>
    <cellStyle name="Accent2 78 2" xfId="3864" xr:uid="{00000000-0005-0000-0000-0000180F0000}"/>
    <cellStyle name="Accent2 78 2 2" xfId="3865" xr:uid="{00000000-0005-0000-0000-0000190F0000}"/>
    <cellStyle name="Accent2 78 3" xfId="3866" xr:uid="{00000000-0005-0000-0000-00001A0F0000}"/>
    <cellStyle name="Accent2 78 3 2" xfId="3867" xr:uid="{00000000-0005-0000-0000-00001B0F0000}"/>
    <cellStyle name="Accent2 78 3 2 2" xfId="3868" xr:uid="{00000000-0005-0000-0000-00001C0F0000}"/>
    <cellStyle name="Accent2 78 3 3" xfId="3869" xr:uid="{00000000-0005-0000-0000-00001D0F0000}"/>
    <cellStyle name="Accent2 78 4" xfId="3870" xr:uid="{00000000-0005-0000-0000-00001E0F0000}"/>
    <cellStyle name="Accent2 79" xfId="3871" xr:uid="{00000000-0005-0000-0000-00001F0F0000}"/>
    <cellStyle name="Accent2 79 2" xfId="3872" xr:uid="{00000000-0005-0000-0000-0000200F0000}"/>
    <cellStyle name="Accent2 79 2 2" xfId="3873" xr:uid="{00000000-0005-0000-0000-0000210F0000}"/>
    <cellStyle name="Accent2 79 3" xfId="3874" xr:uid="{00000000-0005-0000-0000-0000220F0000}"/>
    <cellStyle name="Accent2 79 3 2" xfId="3875" xr:uid="{00000000-0005-0000-0000-0000230F0000}"/>
    <cellStyle name="Accent2 79 3 2 2" xfId="3876" xr:uid="{00000000-0005-0000-0000-0000240F0000}"/>
    <cellStyle name="Accent2 79 3 3" xfId="3877" xr:uid="{00000000-0005-0000-0000-0000250F0000}"/>
    <cellStyle name="Accent2 79 4" xfId="3878" xr:uid="{00000000-0005-0000-0000-0000260F0000}"/>
    <cellStyle name="Accent2 8" xfId="3879" xr:uid="{00000000-0005-0000-0000-0000270F0000}"/>
    <cellStyle name="Accent2 8 2" xfId="3880" xr:uid="{00000000-0005-0000-0000-0000280F0000}"/>
    <cellStyle name="Accent2 8 2 2" xfId="3881" xr:uid="{00000000-0005-0000-0000-0000290F0000}"/>
    <cellStyle name="Accent2 8 3" xfId="3882" xr:uid="{00000000-0005-0000-0000-00002A0F0000}"/>
    <cellStyle name="Accent2 80" xfId="3883" xr:uid="{00000000-0005-0000-0000-00002B0F0000}"/>
    <cellStyle name="Accent2 80 2" xfId="3884" xr:uid="{00000000-0005-0000-0000-00002C0F0000}"/>
    <cellStyle name="Accent2 80 2 2" xfId="3885" xr:uid="{00000000-0005-0000-0000-00002D0F0000}"/>
    <cellStyle name="Accent2 80 3" xfId="3886" xr:uid="{00000000-0005-0000-0000-00002E0F0000}"/>
    <cellStyle name="Accent2 80 3 2" xfId="3887" xr:uid="{00000000-0005-0000-0000-00002F0F0000}"/>
    <cellStyle name="Accent2 80 3 2 2" xfId="3888" xr:uid="{00000000-0005-0000-0000-0000300F0000}"/>
    <cellStyle name="Accent2 80 3 3" xfId="3889" xr:uid="{00000000-0005-0000-0000-0000310F0000}"/>
    <cellStyle name="Accent2 80 4" xfId="3890" xr:uid="{00000000-0005-0000-0000-0000320F0000}"/>
    <cellStyle name="Accent2 81" xfId="3891" xr:uid="{00000000-0005-0000-0000-0000330F0000}"/>
    <cellStyle name="Accent2 81 2" xfId="3892" xr:uid="{00000000-0005-0000-0000-0000340F0000}"/>
    <cellStyle name="Accent2 81 2 2" xfId="3893" xr:uid="{00000000-0005-0000-0000-0000350F0000}"/>
    <cellStyle name="Accent2 81 3" xfId="3894" xr:uid="{00000000-0005-0000-0000-0000360F0000}"/>
    <cellStyle name="Accent2 81 3 2" xfId="3895" xr:uid="{00000000-0005-0000-0000-0000370F0000}"/>
    <cellStyle name="Accent2 81 3 2 2" xfId="3896" xr:uid="{00000000-0005-0000-0000-0000380F0000}"/>
    <cellStyle name="Accent2 81 3 3" xfId="3897" xr:uid="{00000000-0005-0000-0000-0000390F0000}"/>
    <cellStyle name="Accent2 81 4" xfId="3898" xr:uid="{00000000-0005-0000-0000-00003A0F0000}"/>
    <cellStyle name="Accent2 82" xfId="3899" xr:uid="{00000000-0005-0000-0000-00003B0F0000}"/>
    <cellStyle name="Accent2 82 2" xfId="3900" xr:uid="{00000000-0005-0000-0000-00003C0F0000}"/>
    <cellStyle name="Accent2 82 2 2" xfId="3901" xr:uid="{00000000-0005-0000-0000-00003D0F0000}"/>
    <cellStyle name="Accent2 82 3" xfId="3902" xr:uid="{00000000-0005-0000-0000-00003E0F0000}"/>
    <cellStyle name="Accent2 82 3 2" xfId="3903" xr:uid="{00000000-0005-0000-0000-00003F0F0000}"/>
    <cellStyle name="Accent2 82 3 2 2" xfId="3904" xr:uid="{00000000-0005-0000-0000-0000400F0000}"/>
    <cellStyle name="Accent2 82 3 3" xfId="3905" xr:uid="{00000000-0005-0000-0000-0000410F0000}"/>
    <cellStyle name="Accent2 82 4" xfId="3906" xr:uid="{00000000-0005-0000-0000-0000420F0000}"/>
    <cellStyle name="Accent2 83" xfId="3907" xr:uid="{00000000-0005-0000-0000-0000430F0000}"/>
    <cellStyle name="Accent2 83 2" xfId="3908" xr:uid="{00000000-0005-0000-0000-0000440F0000}"/>
    <cellStyle name="Accent2 83 2 2" xfId="3909" xr:uid="{00000000-0005-0000-0000-0000450F0000}"/>
    <cellStyle name="Accent2 83 3" xfId="3910" xr:uid="{00000000-0005-0000-0000-0000460F0000}"/>
    <cellStyle name="Accent2 83 3 2" xfId="3911" xr:uid="{00000000-0005-0000-0000-0000470F0000}"/>
    <cellStyle name="Accent2 83 3 2 2" xfId="3912" xr:uid="{00000000-0005-0000-0000-0000480F0000}"/>
    <cellStyle name="Accent2 83 3 3" xfId="3913" xr:uid="{00000000-0005-0000-0000-0000490F0000}"/>
    <cellStyle name="Accent2 83 4" xfId="3914" xr:uid="{00000000-0005-0000-0000-00004A0F0000}"/>
    <cellStyle name="Accent2 84" xfId="3915" xr:uid="{00000000-0005-0000-0000-00004B0F0000}"/>
    <cellStyle name="Accent2 84 2" xfId="3916" xr:uid="{00000000-0005-0000-0000-00004C0F0000}"/>
    <cellStyle name="Accent2 84 2 2" xfId="3917" xr:uid="{00000000-0005-0000-0000-00004D0F0000}"/>
    <cellStyle name="Accent2 84 3" xfId="3918" xr:uid="{00000000-0005-0000-0000-00004E0F0000}"/>
    <cellStyle name="Accent2 85" xfId="3919" xr:uid="{00000000-0005-0000-0000-00004F0F0000}"/>
    <cellStyle name="Accent2 85 2" xfId="3920" xr:uid="{00000000-0005-0000-0000-0000500F0000}"/>
    <cellStyle name="Accent2 85 2 2" xfId="3921" xr:uid="{00000000-0005-0000-0000-0000510F0000}"/>
    <cellStyle name="Accent2 85 3" xfId="3922" xr:uid="{00000000-0005-0000-0000-0000520F0000}"/>
    <cellStyle name="Accent2 86" xfId="3923" xr:uid="{00000000-0005-0000-0000-0000530F0000}"/>
    <cellStyle name="Accent2 86 2" xfId="3924" xr:uid="{00000000-0005-0000-0000-0000540F0000}"/>
    <cellStyle name="Accent2 86 2 2" xfId="3925" xr:uid="{00000000-0005-0000-0000-0000550F0000}"/>
    <cellStyle name="Accent2 86 3" xfId="3926" xr:uid="{00000000-0005-0000-0000-0000560F0000}"/>
    <cellStyle name="Accent2 87" xfId="3927" xr:uid="{00000000-0005-0000-0000-0000570F0000}"/>
    <cellStyle name="Accent2 87 2" xfId="3928" xr:uid="{00000000-0005-0000-0000-0000580F0000}"/>
    <cellStyle name="Accent2 87 2 2" xfId="3929" xr:uid="{00000000-0005-0000-0000-0000590F0000}"/>
    <cellStyle name="Accent2 87 3" xfId="3930" xr:uid="{00000000-0005-0000-0000-00005A0F0000}"/>
    <cellStyle name="Accent2 88" xfId="3931" xr:uid="{00000000-0005-0000-0000-00005B0F0000}"/>
    <cellStyle name="Accent2 88 2" xfId="3932" xr:uid="{00000000-0005-0000-0000-00005C0F0000}"/>
    <cellStyle name="Accent2 88 2 2" xfId="3933" xr:uid="{00000000-0005-0000-0000-00005D0F0000}"/>
    <cellStyle name="Accent2 88 3" xfId="3934" xr:uid="{00000000-0005-0000-0000-00005E0F0000}"/>
    <cellStyle name="Accent2 89" xfId="3935" xr:uid="{00000000-0005-0000-0000-00005F0F0000}"/>
    <cellStyle name="Accent2 89 2" xfId="3936" xr:uid="{00000000-0005-0000-0000-0000600F0000}"/>
    <cellStyle name="Accent2 89 2 2" xfId="3937" xr:uid="{00000000-0005-0000-0000-0000610F0000}"/>
    <cellStyle name="Accent2 89 3" xfId="3938" xr:uid="{00000000-0005-0000-0000-0000620F0000}"/>
    <cellStyle name="Accent2 9" xfId="3939" xr:uid="{00000000-0005-0000-0000-0000630F0000}"/>
    <cellStyle name="Accent2 9 2" xfId="3940" xr:uid="{00000000-0005-0000-0000-0000640F0000}"/>
    <cellStyle name="Accent2 9 2 2" xfId="3941" xr:uid="{00000000-0005-0000-0000-0000650F0000}"/>
    <cellStyle name="Accent2 9 3" xfId="3942" xr:uid="{00000000-0005-0000-0000-0000660F0000}"/>
    <cellStyle name="Accent2 90" xfId="3943" xr:uid="{00000000-0005-0000-0000-0000670F0000}"/>
    <cellStyle name="Accent2 90 2" xfId="3944" xr:uid="{00000000-0005-0000-0000-0000680F0000}"/>
    <cellStyle name="Accent2 90 2 2" xfId="3945" xr:uid="{00000000-0005-0000-0000-0000690F0000}"/>
    <cellStyle name="Accent2 90 3" xfId="3946" xr:uid="{00000000-0005-0000-0000-00006A0F0000}"/>
    <cellStyle name="Accent2 91" xfId="3947" xr:uid="{00000000-0005-0000-0000-00006B0F0000}"/>
    <cellStyle name="Accent2 91 2" xfId="3948" xr:uid="{00000000-0005-0000-0000-00006C0F0000}"/>
    <cellStyle name="Accent2 91 2 2" xfId="3949" xr:uid="{00000000-0005-0000-0000-00006D0F0000}"/>
    <cellStyle name="Accent2 91 3" xfId="3950" xr:uid="{00000000-0005-0000-0000-00006E0F0000}"/>
    <cellStyle name="Accent2 92" xfId="3951" xr:uid="{00000000-0005-0000-0000-00006F0F0000}"/>
    <cellStyle name="Accent2 92 2" xfId="3952" xr:uid="{00000000-0005-0000-0000-0000700F0000}"/>
    <cellStyle name="Accent2 92 2 2" xfId="3953" xr:uid="{00000000-0005-0000-0000-0000710F0000}"/>
    <cellStyle name="Accent2 92 3" xfId="3954" xr:uid="{00000000-0005-0000-0000-0000720F0000}"/>
    <cellStyle name="Accent2 93" xfId="3955" xr:uid="{00000000-0005-0000-0000-0000730F0000}"/>
    <cellStyle name="Accent2 93 2" xfId="3956" xr:uid="{00000000-0005-0000-0000-0000740F0000}"/>
    <cellStyle name="Accent2 93 2 2" xfId="3957" xr:uid="{00000000-0005-0000-0000-0000750F0000}"/>
    <cellStyle name="Accent2 93 3" xfId="3958" xr:uid="{00000000-0005-0000-0000-0000760F0000}"/>
    <cellStyle name="Accent2 94" xfId="3959" xr:uid="{00000000-0005-0000-0000-0000770F0000}"/>
    <cellStyle name="Accent2 94 2" xfId="3960" xr:uid="{00000000-0005-0000-0000-0000780F0000}"/>
    <cellStyle name="Accent2 94 2 2" xfId="3961" xr:uid="{00000000-0005-0000-0000-0000790F0000}"/>
    <cellStyle name="Accent2 94 3" xfId="3962" xr:uid="{00000000-0005-0000-0000-00007A0F0000}"/>
    <cellStyle name="Accent2 95" xfId="3963" xr:uid="{00000000-0005-0000-0000-00007B0F0000}"/>
    <cellStyle name="Accent2 95 2" xfId="3964" xr:uid="{00000000-0005-0000-0000-00007C0F0000}"/>
    <cellStyle name="Accent2 95 2 2" xfId="3965" xr:uid="{00000000-0005-0000-0000-00007D0F0000}"/>
    <cellStyle name="Accent2 95 3" xfId="3966" xr:uid="{00000000-0005-0000-0000-00007E0F0000}"/>
    <cellStyle name="Accent2 96" xfId="3967" xr:uid="{00000000-0005-0000-0000-00007F0F0000}"/>
    <cellStyle name="Accent2 96 2" xfId="3968" xr:uid="{00000000-0005-0000-0000-0000800F0000}"/>
    <cellStyle name="Accent2 96 2 2" xfId="3969" xr:uid="{00000000-0005-0000-0000-0000810F0000}"/>
    <cellStyle name="Accent2 96 3" xfId="3970" xr:uid="{00000000-0005-0000-0000-0000820F0000}"/>
    <cellStyle name="Accent2 97" xfId="3971" xr:uid="{00000000-0005-0000-0000-0000830F0000}"/>
    <cellStyle name="Accent2 97 2" xfId="3972" xr:uid="{00000000-0005-0000-0000-0000840F0000}"/>
    <cellStyle name="Accent2 97 2 2" xfId="3973" xr:uid="{00000000-0005-0000-0000-0000850F0000}"/>
    <cellStyle name="Accent2 97 3" xfId="3974" xr:uid="{00000000-0005-0000-0000-0000860F0000}"/>
    <cellStyle name="Accent2 98" xfId="3975" xr:uid="{00000000-0005-0000-0000-0000870F0000}"/>
    <cellStyle name="Accent2 98 2" xfId="3976" xr:uid="{00000000-0005-0000-0000-0000880F0000}"/>
    <cellStyle name="Accent2 98 2 2" xfId="3977" xr:uid="{00000000-0005-0000-0000-0000890F0000}"/>
    <cellStyle name="Accent2 98 3" xfId="3978" xr:uid="{00000000-0005-0000-0000-00008A0F0000}"/>
    <cellStyle name="Accent2 99" xfId="3979" xr:uid="{00000000-0005-0000-0000-00008B0F0000}"/>
    <cellStyle name="Accent2 99 2" xfId="3980" xr:uid="{00000000-0005-0000-0000-00008C0F0000}"/>
    <cellStyle name="Accent2 99 2 2" xfId="3981" xr:uid="{00000000-0005-0000-0000-00008D0F0000}"/>
    <cellStyle name="Accent2 99 3" xfId="3982" xr:uid="{00000000-0005-0000-0000-00008E0F0000}"/>
    <cellStyle name="Accent3 - 20%" xfId="3983" xr:uid="{00000000-0005-0000-0000-00008F0F0000}"/>
    <cellStyle name="Accent3 - 20% 10" xfId="3984" xr:uid="{00000000-0005-0000-0000-0000900F0000}"/>
    <cellStyle name="Accent3 - 20% 11" xfId="3985" xr:uid="{00000000-0005-0000-0000-0000910F0000}"/>
    <cellStyle name="Accent3 - 20% 2" xfId="3986" xr:uid="{00000000-0005-0000-0000-0000920F0000}"/>
    <cellStyle name="Accent3 - 20% 2 2" xfId="3987" xr:uid="{00000000-0005-0000-0000-0000930F0000}"/>
    <cellStyle name="Accent3 - 20% 2 2 2" xfId="3988" xr:uid="{00000000-0005-0000-0000-0000940F0000}"/>
    <cellStyle name="Accent3 - 20% 2 2 2 2" xfId="3989" xr:uid="{00000000-0005-0000-0000-0000950F0000}"/>
    <cellStyle name="Accent3 - 20% 2 2 3" xfId="3990" xr:uid="{00000000-0005-0000-0000-0000960F0000}"/>
    <cellStyle name="Accent3 - 20% 2 3" xfId="3991" xr:uid="{00000000-0005-0000-0000-0000970F0000}"/>
    <cellStyle name="Accent3 - 20% 2 3 2" xfId="3992" xr:uid="{00000000-0005-0000-0000-0000980F0000}"/>
    <cellStyle name="Accent3 - 20% 2 3 2 2" xfId="3993" xr:uid="{00000000-0005-0000-0000-0000990F0000}"/>
    <cellStyle name="Accent3 - 20% 2 3 2 2 2" xfId="3994" xr:uid="{00000000-0005-0000-0000-00009A0F0000}"/>
    <cellStyle name="Accent3 - 20% 2 3 2 3" xfId="3995" xr:uid="{00000000-0005-0000-0000-00009B0F0000}"/>
    <cellStyle name="Accent3 - 20% 2 3 3" xfId="3996" xr:uid="{00000000-0005-0000-0000-00009C0F0000}"/>
    <cellStyle name="Accent3 - 20% 2 3 3 2" xfId="3997" xr:uid="{00000000-0005-0000-0000-00009D0F0000}"/>
    <cellStyle name="Accent3 - 20% 2 3 4" xfId="3998" xr:uid="{00000000-0005-0000-0000-00009E0F0000}"/>
    <cellStyle name="Accent3 - 20% 2 4" xfId="3999" xr:uid="{00000000-0005-0000-0000-00009F0F0000}"/>
    <cellStyle name="Accent3 - 20% 2 4 2" xfId="4000" xr:uid="{00000000-0005-0000-0000-0000A00F0000}"/>
    <cellStyle name="Accent3 - 20% 2 4 2 2" xfId="4001" xr:uid="{00000000-0005-0000-0000-0000A10F0000}"/>
    <cellStyle name="Accent3 - 20% 2 4 2 2 2" xfId="4002" xr:uid="{00000000-0005-0000-0000-0000A20F0000}"/>
    <cellStyle name="Accent3 - 20% 2 4 2 3" xfId="4003" xr:uid="{00000000-0005-0000-0000-0000A30F0000}"/>
    <cellStyle name="Accent3 - 20% 2 4 3" xfId="4004" xr:uid="{00000000-0005-0000-0000-0000A40F0000}"/>
    <cellStyle name="Accent3 - 20% 2 4 3 2" xfId="4005" xr:uid="{00000000-0005-0000-0000-0000A50F0000}"/>
    <cellStyle name="Accent3 - 20% 2 4 4" xfId="4006" xr:uid="{00000000-0005-0000-0000-0000A60F0000}"/>
    <cellStyle name="Accent3 - 20% 2 5" xfId="4007" xr:uid="{00000000-0005-0000-0000-0000A70F0000}"/>
    <cellStyle name="Accent3 - 20% 2 5 2" xfId="4008" xr:uid="{00000000-0005-0000-0000-0000A80F0000}"/>
    <cellStyle name="Accent3 - 20% 2 6" xfId="4009" xr:uid="{00000000-0005-0000-0000-0000A90F0000}"/>
    <cellStyle name="Accent3 - 20% 2 6 2" xfId="4010" xr:uid="{00000000-0005-0000-0000-0000AA0F0000}"/>
    <cellStyle name="Accent3 - 20% 2 7" xfId="4011" xr:uid="{00000000-0005-0000-0000-0000AB0F0000}"/>
    <cellStyle name="Accent3 - 20% 3" xfId="4012" xr:uid="{00000000-0005-0000-0000-0000AC0F0000}"/>
    <cellStyle name="Accent3 - 20% 3 2" xfId="4013" xr:uid="{00000000-0005-0000-0000-0000AD0F0000}"/>
    <cellStyle name="Accent3 - 20% 3 2 2" xfId="4014" xr:uid="{00000000-0005-0000-0000-0000AE0F0000}"/>
    <cellStyle name="Accent3 - 20% 3 2 2 2" xfId="4015" xr:uid="{00000000-0005-0000-0000-0000AF0F0000}"/>
    <cellStyle name="Accent3 - 20% 3 2 3" xfId="4016" xr:uid="{00000000-0005-0000-0000-0000B00F0000}"/>
    <cellStyle name="Accent3 - 20% 3 3" xfId="4017" xr:uid="{00000000-0005-0000-0000-0000B10F0000}"/>
    <cellStyle name="Accent3 - 20% 3 3 2" xfId="4018" xr:uid="{00000000-0005-0000-0000-0000B20F0000}"/>
    <cellStyle name="Accent3 - 20% 3 4" xfId="4019" xr:uid="{00000000-0005-0000-0000-0000B30F0000}"/>
    <cellStyle name="Accent3 - 20% 4" xfId="4020" xr:uid="{00000000-0005-0000-0000-0000B40F0000}"/>
    <cellStyle name="Accent3 - 20% 4 2" xfId="4021" xr:uid="{00000000-0005-0000-0000-0000B50F0000}"/>
    <cellStyle name="Accent3 - 20% 4 2 2" xfId="4022" xr:uid="{00000000-0005-0000-0000-0000B60F0000}"/>
    <cellStyle name="Accent3 - 20% 4 3" xfId="4023" xr:uid="{00000000-0005-0000-0000-0000B70F0000}"/>
    <cellStyle name="Accent3 - 20% 5" xfId="4024" xr:uid="{00000000-0005-0000-0000-0000B80F0000}"/>
    <cellStyle name="Accent3 - 20% 5 2" xfId="4025" xr:uid="{00000000-0005-0000-0000-0000B90F0000}"/>
    <cellStyle name="Accent3 - 20% 5 2 2" xfId="4026" xr:uid="{00000000-0005-0000-0000-0000BA0F0000}"/>
    <cellStyle name="Accent3 - 20% 5 3" xfId="4027" xr:uid="{00000000-0005-0000-0000-0000BB0F0000}"/>
    <cellStyle name="Accent3 - 20% 6" xfId="4028" xr:uid="{00000000-0005-0000-0000-0000BC0F0000}"/>
    <cellStyle name="Accent3 - 20% 6 2" xfId="4029" xr:uid="{00000000-0005-0000-0000-0000BD0F0000}"/>
    <cellStyle name="Accent3 - 20% 7" xfId="4030" xr:uid="{00000000-0005-0000-0000-0000BE0F0000}"/>
    <cellStyle name="Accent3 - 20% 7 2" xfId="4031" xr:uid="{00000000-0005-0000-0000-0000BF0F0000}"/>
    <cellStyle name="Accent3 - 20% 8" xfId="4032" xr:uid="{00000000-0005-0000-0000-0000C00F0000}"/>
    <cellStyle name="Accent3 - 20% 8 2" xfId="4033" xr:uid="{00000000-0005-0000-0000-0000C10F0000}"/>
    <cellStyle name="Accent3 - 20% 9" xfId="4034" xr:uid="{00000000-0005-0000-0000-0000C20F0000}"/>
    <cellStyle name="Accent3 - 20% 9 2" xfId="4035" xr:uid="{00000000-0005-0000-0000-0000C30F0000}"/>
    <cellStyle name="Accent3 - 40%" xfId="4036" xr:uid="{00000000-0005-0000-0000-0000C40F0000}"/>
    <cellStyle name="Accent3 - 40% 10" xfId="4037" xr:uid="{00000000-0005-0000-0000-0000C50F0000}"/>
    <cellStyle name="Accent3 - 40% 11" xfId="4038" xr:uid="{00000000-0005-0000-0000-0000C60F0000}"/>
    <cellStyle name="Accent3 - 40% 2" xfId="4039" xr:uid="{00000000-0005-0000-0000-0000C70F0000}"/>
    <cellStyle name="Accent3 - 40% 2 2" xfId="4040" xr:uid="{00000000-0005-0000-0000-0000C80F0000}"/>
    <cellStyle name="Accent3 - 40% 2 2 2" xfId="4041" xr:uid="{00000000-0005-0000-0000-0000C90F0000}"/>
    <cellStyle name="Accent3 - 40% 2 2 2 2" xfId="4042" xr:uid="{00000000-0005-0000-0000-0000CA0F0000}"/>
    <cellStyle name="Accent3 - 40% 2 2 3" xfId="4043" xr:uid="{00000000-0005-0000-0000-0000CB0F0000}"/>
    <cellStyle name="Accent3 - 40% 2 3" xfId="4044" xr:uid="{00000000-0005-0000-0000-0000CC0F0000}"/>
    <cellStyle name="Accent3 - 40% 2 3 2" xfId="4045" xr:uid="{00000000-0005-0000-0000-0000CD0F0000}"/>
    <cellStyle name="Accent3 - 40% 2 3 2 2" xfId="4046" xr:uid="{00000000-0005-0000-0000-0000CE0F0000}"/>
    <cellStyle name="Accent3 - 40% 2 3 2 2 2" xfId="4047" xr:uid="{00000000-0005-0000-0000-0000CF0F0000}"/>
    <cellStyle name="Accent3 - 40% 2 3 2 3" xfId="4048" xr:uid="{00000000-0005-0000-0000-0000D00F0000}"/>
    <cellStyle name="Accent3 - 40% 2 3 3" xfId="4049" xr:uid="{00000000-0005-0000-0000-0000D10F0000}"/>
    <cellStyle name="Accent3 - 40% 2 3 3 2" xfId="4050" xr:uid="{00000000-0005-0000-0000-0000D20F0000}"/>
    <cellStyle name="Accent3 - 40% 2 3 4" xfId="4051" xr:uid="{00000000-0005-0000-0000-0000D30F0000}"/>
    <cellStyle name="Accent3 - 40% 2 4" xfId="4052" xr:uid="{00000000-0005-0000-0000-0000D40F0000}"/>
    <cellStyle name="Accent3 - 40% 2 4 2" xfId="4053" xr:uid="{00000000-0005-0000-0000-0000D50F0000}"/>
    <cellStyle name="Accent3 - 40% 2 4 2 2" xfId="4054" xr:uid="{00000000-0005-0000-0000-0000D60F0000}"/>
    <cellStyle name="Accent3 - 40% 2 4 2 2 2" xfId="4055" xr:uid="{00000000-0005-0000-0000-0000D70F0000}"/>
    <cellStyle name="Accent3 - 40% 2 4 2 3" xfId="4056" xr:uid="{00000000-0005-0000-0000-0000D80F0000}"/>
    <cellStyle name="Accent3 - 40% 2 4 3" xfId="4057" xr:uid="{00000000-0005-0000-0000-0000D90F0000}"/>
    <cellStyle name="Accent3 - 40% 2 4 3 2" xfId="4058" xr:uid="{00000000-0005-0000-0000-0000DA0F0000}"/>
    <cellStyle name="Accent3 - 40% 2 4 4" xfId="4059" xr:uid="{00000000-0005-0000-0000-0000DB0F0000}"/>
    <cellStyle name="Accent3 - 40% 2 5" xfId="4060" xr:uid="{00000000-0005-0000-0000-0000DC0F0000}"/>
    <cellStyle name="Accent3 - 40% 2 5 2" xfId="4061" xr:uid="{00000000-0005-0000-0000-0000DD0F0000}"/>
    <cellStyle name="Accent3 - 40% 2 6" xfId="4062" xr:uid="{00000000-0005-0000-0000-0000DE0F0000}"/>
    <cellStyle name="Accent3 - 40% 2 6 2" xfId="4063" xr:uid="{00000000-0005-0000-0000-0000DF0F0000}"/>
    <cellStyle name="Accent3 - 40% 2 7" xfId="4064" xr:uid="{00000000-0005-0000-0000-0000E00F0000}"/>
    <cellStyle name="Accent3 - 40% 3" xfId="4065" xr:uid="{00000000-0005-0000-0000-0000E10F0000}"/>
    <cellStyle name="Accent3 - 40% 3 2" xfId="4066" xr:uid="{00000000-0005-0000-0000-0000E20F0000}"/>
    <cellStyle name="Accent3 - 40% 3 2 2" xfId="4067" xr:uid="{00000000-0005-0000-0000-0000E30F0000}"/>
    <cellStyle name="Accent3 - 40% 3 2 2 2" xfId="4068" xr:uid="{00000000-0005-0000-0000-0000E40F0000}"/>
    <cellStyle name="Accent3 - 40% 3 2 3" xfId="4069" xr:uid="{00000000-0005-0000-0000-0000E50F0000}"/>
    <cellStyle name="Accent3 - 40% 3 3" xfId="4070" xr:uid="{00000000-0005-0000-0000-0000E60F0000}"/>
    <cellStyle name="Accent3 - 40% 3 3 2" xfId="4071" xr:uid="{00000000-0005-0000-0000-0000E70F0000}"/>
    <cellStyle name="Accent3 - 40% 3 4" xfId="4072" xr:uid="{00000000-0005-0000-0000-0000E80F0000}"/>
    <cellStyle name="Accent3 - 40% 4" xfId="4073" xr:uid="{00000000-0005-0000-0000-0000E90F0000}"/>
    <cellStyle name="Accent3 - 40% 4 2" xfId="4074" xr:uid="{00000000-0005-0000-0000-0000EA0F0000}"/>
    <cellStyle name="Accent3 - 40% 4 2 2" xfId="4075" xr:uid="{00000000-0005-0000-0000-0000EB0F0000}"/>
    <cellStyle name="Accent3 - 40% 4 3" xfId="4076" xr:uid="{00000000-0005-0000-0000-0000EC0F0000}"/>
    <cellStyle name="Accent3 - 40% 5" xfId="4077" xr:uid="{00000000-0005-0000-0000-0000ED0F0000}"/>
    <cellStyle name="Accent3 - 40% 5 2" xfId="4078" xr:uid="{00000000-0005-0000-0000-0000EE0F0000}"/>
    <cellStyle name="Accent3 - 40% 5 2 2" xfId="4079" xr:uid="{00000000-0005-0000-0000-0000EF0F0000}"/>
    <cellStyle name="Accent3 - 40% 5 3" xfId="4080" xr:uid="{00000000-0005-0000-0000-0000F00F0000}"/>
    <cellStyle name="Accent3 - 40% 6" xfId="4081" xr:uid="{00000000-0005-0000-0000-0000F10F0000}"/>
    <cellStyle name="Accent3 - 40% 6 2" xfId="4082" xr:uid="{00000000-0005-0000-0000-0000F20F0000}"/>
    <cellStyle name="Accent3 - 40% 7" xfId="4083" xr:uid="{00000000-0005-0000-0000-0000F30F0000}"/>
    <cellStyle name="Accent3 - 40% 7 2" xfId="4084" xr:uid="{00000000-0005-0000-0000-0000F40F0000}"/>
    <cellStyle name="Accent3 - 40% 8" xfId="4085" xr:uid="{00000000-0005-0000-0000-0000F50F0000}"/>
    <cellStyle name="Accent3 - 40% 8 2" xfId="4086" xr:uid="{00000000-0005-0000-0000-0000F60F0000}"/>
    <cellStyle name="Accent3 - 40% 9" xfId="4087" xr:uid="{00000000-0005-0000-0000-0000F70F0000}"/>
    <cellStyle name="Accent3 - 40% 9 2" xfId="4088" xr:uid="{00000000-0005-0000-0000-0000F80F0000}"/>
    <cellStyle name="Accent3 - 60%" xfId="4089" xr:uid="{00000000-0005-0000-0000-0000F90F0000}"/>
    <cellStyle name="Accent3 - 60% 10" xfId="4090" xr:uid="{00000000-0005-0000-0000-0000FA0F0000}"/>
    <cellStyle name="Accent3 - 60% 2" xfId="4091" xr:uid="{00000000-0005-0000-0000-0000FB0F0000}"/>
    <cellStyle name="Accent3 - 60% 2 2" xfId="4092" xr:uid="{00000000-0005-0000-0000-0000FC0F0000}"/>
    <cellStyle name="Accent3 - 60% 2 2 2" xfId="4093" xr:uid="{00000000-0005-0000-0000-0000FD0F0000}"/>
    <cellStyle name="Accent3 - 60% 2 3" xfId="4094" xr:uid="{00000000-0005-0000-0000-0000FE0F0000}"/>
    <cellStyle name="Accent3 - 60% 2 3 2" xfId="4095" xr:uid="{00000000-0005-0000-0000-0000FF0F0000}"/>
    <cellStyle name="Accent3 - 60% 2 3 2 2" xfId="4096" xr:uid="{00000000-0005-0000-0000-000000100000}"/>
    <cellStyle name="Accent3 - 60% 2 3 3" xfId="4097" xr:uid="{00000000-0005-0000-0000-000001100000}"/>
    <cellStyle name="Accent3 - 60% 2 4" xfId="4098" xr:uid="{00000000-0005-0000-0000-000002100000}"/>
    <cellStyle name="Accent3 - 60% 2 4 2" xfId="4099" xr:uid="{00000000-0005-0000-0000-000003100000}"/>
    <cellStyle name="Accent3 - 60% 2 4 2 2" xfId="4100" xr:uid="{00000000-0005-0000-0000-000004100000}"/>
    <cellStyle name="Accent3 - 60% 2 4 3" xfId="4101" xr:uid="{00000000-0005-0000-0000-000005100000}"/>
    <cellStyle name="Accent3 - 60% 2 5" xfId="4102" xr:uid="{00000000-0005-0000-0000-000006100000}"/>
    <cellStyle name="Accent3 - 60% 3" xfId="4103" xr:uid="{00000000-0005-0000-0000-000007100000}"/>
    <cellStyle name="Accent3 - 60% 3 2" xfId="4104" xr:uid="{00000000-0005-0000-0000-000008100000}"/>
    <cellStyle name="Accent3 - 60% 3 2 2" xfId="4105" xr:uid="{00000000-0005-0000-0000-000009100000}"/>
    <cellStyle name="Accent3 - 60% 3 3" xfId="4106" xr:uid="{00000000-0005-0000-0000-00000A100000}"/>
    <cellStyle name="Accent3 - 60% 4" xfId="4107" xr:uid="{00000000-0005-0000-0000-00000B100000}"/>
    <cellStyle name="Accent3 - 60% 4 2" xfId="4108" xr:uid="{00000000-0005-0000-0000-00000C100000}"/>
    <cellStyle name="Accent3 - 60% 5" xfId="4109" xr:uid="{00000000-0005-0000-0000-00000D100000}"/>
    <cellStyle name="Accent3 - 60% 5 2" xfId="4110" xr:uid="{00000000-0005-0000-0000-00000E100000}"/>
    <cellStyle name="Accent3 - 60% 6" xfId="4111" xr:uid="{00000000-0005-0000-0000-00000F100000}"/>
    <cellStyle name="Accent3 - 60% 6 2" xfId="4112" xr:uid="{00000000-0005-0000-0000-000010100000}"/>
    <cellStyle name="Accent3 - 60% 6 2 2" xfId="4113" xr:uid="{00000000-0005-0000-0000-000011100000}"/>
    <cellStyle name="Accent3 - 60% 6 3" xfId="4114" xr:uid="{00000000-0005-0000-0000-000012100000}"/>
    <cellStyle name="Accent3 - 60% 7" xfId="4115" xr:uid="{00000000-0005-0000-0000-000013100000}"/>
    <cellStyle name="Accent3 - 60% 7 2" xfId="4116" xr:uid="{00000000-0005-0000-0000-000014100000}"/>
    <cellStyle name="Accent3 - 60% 8" xfId="4117" xr:uid="{00000000-0005-0000-0000-000015100000}"/>
    <cellStyle name="Accent3 - 60% 8 2" xfId="4118" xr:uid="{00000000-0005-0000-0000-000016100000}"/>
    <cellStyle name="Accent3 - 60% 9" xfId="4119" xr:uid="{00000000-0005-0000-0000-000017100000}"/>
    <cellStyle name="Accent3 10" xfId="4120" xr:uid="{00000000-0005-0000-0000-000018100000}"/>
    <cellStyle name="Accent3 10 2" xfId="4121" xr:uid="{00000000-0005-0000-0000-000019100000}"/>
    <cellStyle name="Accent3 10 2 2" xfId="4122" xr:uid="{00000000-0005-0000-0000-00001A100000}"/>
    <cellStyle name="Accent3 10 3" xfId="4123" xr:uid="{00000000-0005-0000-0000-00001B100000}"/>
    <cellStyle name="Accent3 100" xfId="4124" xr:uid="{00000000-0005-0000-0000-00001C100000}"/>
    <cellStyle name="Accent3 100 2" xfId="4125" xr:uid="{00000000-0005-0000-0000-00001D100000}"/>
    <cellStyle name="Accent3 100 2 2" xfId="4126" xr:uid="{00000000-0005-0000-0000-00001E100000}"/>
    <cellStyle name="Accent3 100 3" xfId="4127" xr:uid="{00000000-0005-0000-0000-00001F100000}"/>
    <cellStyle name="Accent3 101" xfId="4128" xr:uid="{00000000-0005-0000-0000-000020100000}"/>
    <cellStyle name="Accent3 101 2" xfId="4129" xr:uid="{00000000-0005-0000-0000-000021100000}"/>
    <cellStyle name="Accent3 101 2 2" xfId="4130" xr:uid="{00000000-0005-0000-0000-000022100000}"/>
    <cellStyle name="Accent3 101 3" xfId="4131" xr:uid="{00000000-0005-0000-0000-000023100000}"/>
    <cellStyle name="Accent3 102" xfId="4132" xr:uid="{00000000-0005-0000-0000-000024100000}"/>
    <cellStyle name="Accent3 102 2" xfId="4133" xr:uid="{00000000-0005-0000-0000-000025100000}"/>
    <cellStyle name="Accent3 103" xfId="4134" xr:uid="{00000000-0005-0000-0000-000026100000}"/>
    <cellStyle name="Accent3 103 2" xfId="4135" xr:uid="{00000000-0005-0000-0000-000027100000}"/>
    <cellStyle name="Accent3 104" xfId="4136" xr:uid="{00000000-0005-0000-0000-000028100000}"/>
    <cellStyle name="Accent3 104 2" xfId="4137" xr:uid="{00000000-0005-0000-0000-000029100000}"/>
    <cellStyle name="Accent3 104 2 2" xfId="4138" xr:uid="{00000000-0005-0000-0000-00002A100000}"/>
    <cellStyle name="Accent3 104 3" xfId="4139" xr:uid="{00000000-0005-0000-0000-00002B100000}"/>
    <cellStyle name="Accent3 105" xfId="4140" xr:uid="{00000000-0005-0000-0000-00002C100000}"/>
    <cellStyle name="Accent3 105 2" xfId="4141" xr:uid="{00000000-0005-0000-0000-00002D100000}"/>
    <cellStyle name="Accent3 105 2 2" xfId="4142" xr:uid="{00000000-0005-0000-0000-00002E100000}"/>
    <cellStyle name="Accent3 105 3" xfId="4143" xr:uid="{00000000-0005-0000-0000-00002F100000}"/>
    <cellStyle name="Accent3 106" xfId="4144" xr:uid="{00000000-0005-0000-0000-000030100000}"/>
    <cellStyle name="Accent3 106 2" xfId="4145" xr:uid="{00000000-0005-0000-0000-000031100000}"/>
    <cellStyle name="Accent3 106 2 2" xfId="4146" xr:uid="{00000000-0005-0000-0000-000032100000}"/>
    <cellStyle name="Accent3 106 3" xfId="4147" xr:uid="{00000000-0005-0000-0000-000033100000}"/>
    <cellStyle name="Accent3 107" xfId="4148" xr:uid="{00000000-0005-0000-0000-000034100000}"/>
    <cellStyle name="Accent3 107 2" xfId="4149" xr:uid="{00000000-0005-0000-0000-000035100000}"/>
    <cellStyle name="Accent3 107 2 2" xfId="4150" xr:uid="{00000000-0005-0000-0000-000036100000}"/>
    <cellStyle name="Accent3 107 3" xfId="4151" xr:uid="{00000000-0005-0000-0000-000037100000}"/>
    <cellStyle name="Accent3 108" xfId="4152" xr:uid="{00000000-0005-0000-0000-000038100000}"/>
    <cellStyle name="Accent3 108 2" xfId="4153" xr:uid="{00000000-0005-0000-0000-000039100000}"/>
    <cellStyle name="Accent3 108 2 2" xfId="4154" xr:uid="{00000000-0005-0000-0000-00003A100000}"/>
    <cellStyle name="Accent3 108 3" xfId="4155" xr:uid="{00000000-0005-0000-0000-00003B100000}"/>
    <cellStyle name="Accent3 109" xfId="4156" xr:uid="{00000000-0005-0000-0000-00003C100000}"/>
    <cellStyle name="Accent3 109 2" xfId="4157" xr:uid="{00000000-0005-0000-0000-00003D100000}"/>
    <cellStyle name="Accent3 109 2 2" xfId="4158" xr:uid="{00000000-0005-0000-0000-00003E100000}"/>
    <cellStyle name="Accent3 109 3" xfId="4159" xr:uid="{00000000-0005-0000-0000-00003F100000}"/>
    <cellStyle name="Accent3 11" xfId="4160" xr:uid="{00000000-0005-0000-0000-000040100000}"/>
    <cellStyle name="Accent3 11 2" xfId="4161" xr:uid="{00000000-0005-0000-0000-000041100000}"/>
    <cellStyle name="Accent3 11 2 2" xfId="4162" xr:uid="{00000000-0005-0000-0000-000042100000}"/>
    <cellStyle name="Accent3 11 3" xfId="4163" xr:uid="{00000000-0005-0000-0000-000043100000}"/>
    <cellStyle name="Accent3 110" xfId="4164" xr:uid="{00000000-0005-0000-0000-000044100000}"/>
    <cellStyle name="Accent3 110 2" xfId="4165" xr:uid="{00000000-0005-0000-0000-000045100000}"/>
    <cellStyle name="Accent3 110 2 2" xfId="4166" xr:uid="{00000000-0005-0000-0000-000046100000}"/>
    <cellStyle name="Accent3 110 3" xfId="4167" xr:uid="{00000000-0005-0000-0000-000047100000}"/>
    <cellStyle name="Accent3 111" xfId="4168" xr:uid="{00000000-0005-0000-0000-000048100000}"/>
    <cellStyle name="Accent3 111 2" xfId="4169" xr:uid="{00000000-0005-0000-0000-000049100000}"/>
    <cellStyle name="Accent3 111 2 2" xfId="4170" xr:uid="{00000000-0005-0000-0000-00004A100000}"/>
    <cellStyle name="Accent3 111 3" xfId="4171" xr:uid="{00000000-0005-0000-0000-00004B100000}"/>
    <cellStyle name="Accent3 112" xfId="4172" xr:uid="{00000000-0005-0000-0000-00004C100000}"/>
    <cellStyle name="Accent3 112 2" xfId="4173" xr:uid="{00000000-0005-0000-0000-00004D100000}"/>
    <cellStyle name="Accent3 112 2 2" xfId="4174" xr:uid="{00000000-0005-0000-0000-00004E100000}"/>
    <cellStyle name="Accent3 112 3" xfId="4175" xr:uid="{00000000-0005-0000-0000-00004F100000}"/>
    <cellStyle name="Accent3 113" xfId="4176" xr:uid="{00000000-0005-0000-0000-000050100000}"/>
    <cellStyle name="Accent3 113 2" xfId="4177" xr:uid="{00000000-0005-0000-0000-000051100000}"/>
    <cellStyle name="Accent3 113 2 2" xfId="4178" xr:uid="{00000000-0005-0000-0000-000052100000}"/>
    <cellStyle name="Accent3 113 3" xfId="4179" xr:uid="{00000000-0005-0000-0000-000053100000}"/>
    <cellStyle name="Accent3 114" xfId="4180" xr:uid="{00000000-0005-0000-0000-000054100000}"/>
    <cellStyle name="Accent3 114 2" xfId="4181" xr:uid="{00000000-0005-0000-0000-000055100000}"/>
    <cellStyle name="Accent3 115" xfId="4182" xr:uid="{00000000-0005-0000-0000-000056100000}"/>
    <cellStyle name="Accent3 115 2" xfId="4183" xr:uid="{00000000-0005-0000-0000-000057100000}"/>
    <cellStyle name="Accent3 116" xfId="4184" xr:uid="{00000000-0005-0000-0000-000058100000}"/>
    <cellStyle name="Accent3 116 2" xfId="4185" xr:uid="{00000000-0005-0000-0000-000059100000}"/>
    <cellStyle name="Accent3 117" xfId="4186" xr:uid="{00000000-0005-0000-0000-00005A100000}"/>
    <cellStyle name="Accent3 117 2" xfId="4187" xr:uid="{00000000-0005-0000-0000-00005B100000}"/>
    <cellStyle name="Accent3 118" xfId="4188" xr:uid="{00000000-0005-0000-0000-00005C100000}"/>
    <cellStyle name="Accent3 118 2" xfId="4189" xr:uid="{00000000-0005-0000-0000-00005D100000}"/>
    <cellStyle name="Accent3 119" xfId="4190" xr:uid="{00000000-0005-0000-0000-00005E100000}"/>
    <cellStyle name="Accent3 119 2" xfId="4191" xr:uid="{00000000-0005-0000-0000-00005F100000}"/>
    <cellStyle name="Accent3 12" xfId="4192" xr:uid="{00000000-0005-0000-0000-000060100000}"/>
    <cellStyle name="Accent3 12 2" xfId="4193" xr:uid="{00000000-0005-0000-0000-000061100000}"/>
    <cellStyle name="Accent3 12 2 2" xfId="4194" xr:uid="{00000000-0005-0000-0000-000062100000}"/>
    <cellStyle name="Accent3 12 3" xfId="4195" xr:uid="{00000000-0005-0000-0000-000063100000}"/>
    <cellStyle name="Accent3 120" xfId="4196" xr:uid="{00000000-0005-0000-0000-000064100000}"/>
    <cellStyle name="Accent3 120 2" xfId="4197" xr:uid="{00000000-0005-0000-0000-000065100000}"/>
    <cellStyle name="Accent3 121" xfId="4198" xr:uid="{00000000-0005-0000-0000-000066100000}"/>
    <cellStyle name="Accent3 121 2" xfId="4199" xr:uid="{00000000-0005-0000-0000-000067100000}"/>
    <cellStyle name="Accent3 122" xfId="4200" xr:uid="{00000000-0005-0000-0000-000068100000}"/>
    <cellStyle name="Accent3 122 2" xfId="4201" xr:uid="{00000000-0005-0000-0000-000069100000}"/>
    <cellStyle name="Accent3 123" xfId="4202" xr:uid="{00000000-0005-0000-0000-00006A100000}"/>
    <cellStyle name="Accent3 123 2" xfId="4203" xr:uid="{00000000-0005-0000-0000-00006B100000}"/>
    <cellStyle name="Accent3 124" xfId="4204" xr:uid="{00000000-0005-0000-0000-00006C100000}"/>
    <cellStyle name="Accent3 124 2" xfId="4205" xr:uid="{00000000-0005-0000-0000-00006D100000}"/>
    <cellStyle name="Accent3 125" xfId="4206" xr:uid="{00000000-0005-0000-0000-00006E100000}"/>
    <cellStyle name="Accent3 125 2" xfId="4207" xr:uid="{00000000-0005-0000-0000-00006F100000}"/>
    <cellStyle name="Accent3 126" xfId="4208" xr:uid="{00000000-0005-0000-0000-000070100000}"/>
    <cellStyle name="Accent3 127" xfId="4209" xr:uid="{00000000-0005-0000-0000-000071100000}"/>
    <cellStyle name="Accent3 128" xfId="4210" xr:uid="{00000000-0005-0000-0000-000072100000}"/>
    <cellStyle name="Accent3 129" xfId="4211" xr:uid="{00000000-0005-0000-0000-000073100000}"/>
    <cellStyle name="Accent3 13" xfId="4212" xr:uid="{00000000-0005-0000-0000-000074100000}"/>
    <cellStyle name="Accent3 13 2" xfId="4213" xr:uid="{00000000-0005-0000-0000-000075100000}"/>
    <cellStyle name="Accent3 13 2 2" xfId="4214" xr:uid="{00000000-0005-0000-0000-000076100000}"/>
    <cellStyle name="Accent3 13 3" xfId="4215" xr:uid="{00000000-0005-0000-0000-000077100000}"/>
    <cellStyle name="Accent3 130" xfId="4216" xr:uid="{00000000-0005-0000-0000-000078100000}"/>
    <cellStyle name="Accent3 131" xfId="4217" xr:uid="{00000000-0005-0000-0000-000079100000}"/>
    <cellStyle name="Accent3 132" xfId="4218" xr:uid="{00000000-0005-0000-0000-00007A100000}"/>
    <cellStyle name="Accent3 133" xfId="4219" xr:uid="{00000000-0005-0000-0000-00007B100000}"/>
    <cellStyle name="Accent3 134" xfId="4220" xr:uid="{00000000-0005-0000-0000-00007C100000}"/>
    <cellStyle name="Accent3 135" xfId="4221" xr:uid="{00000000-0005-0000-0000-00007D100000}"/>
    <cellStyle name="Accent3 136" xfId="4222" xr:uid="{00000000-0005-0000-0000-00007E100000}"/>
    <cellStyle name="Accent3 137" xfId="4223" xr:uid="{00000000-0005-0000-0000-00007F100000}"/>
    <cellStyle name="Accent3 138" xfId="4224" xr:uid="{00000000-0005-0000-0000-000080100000}"/>
    <cellStyle name="Accent3 139" xfId="4225" xr:uid="{00000000-0005-0000-0000-000081100000}"/>
    <cellStyle name="Accent3 14" xfId="4226" xr:uid="{00000000-0005-0000-0000-000082100000}"/>
    <cellStyle name="Accent3 14 2" xfId="4227" xr:uid="{00000000-0005-0000-0000-000083100000}"/>
    <cellStyle name="Accent3 14 2 2" xfId="4228" xr:uid="{00000000-0005-0000-0000-000084100000}"/>
    <cellStyle name="Accent3 14 3" xfId="4229" xr:uid="{00000000-0005-0000-0000-000085100000}"/>
    <cellStyle name="Accent3 140" xfId="4230" xr:uid="{00000000-0005-0000-0000-000086100000}"/>
    <cellStyle name="Accent3 141" xfId="4231" xr:uid="{00000000-0005-0000-0000-000087100000}"/>
    <cellStyle name="Accent3 142" xfId="4232" xr:uid="{00000000-0005-0000-0000-000088100000}"/>
    <cellStyle name="Accent3 143" xfId="4233" xr:uid="{00000000-0005-0000-0000-000089100000}"/>
    <cellStyle name="Accent3 144" xfId="4234" xr:uid="{00000000-0005-0000-0000-00008A100000}"/>
    <cellStyle name="Accent3 145" xfId="4235" xr:uid="{00000000-0005-0000-0000-00008B100000}"/>
    <cellStyle name="Accent3 146" xfId="4236" xr:uid="{00000000-0005-0000-0000-00008C100000}"/>
    <cellStyle name="Accent3 147" xfId="4237" xr:uid="{00000000-0005-0000-0000-00008D100000}"/>
    <cellStyle name="Accent3 148" xfId="4238" xr:uid="{00000000-0005-0000-0000-00008E100000}"/>
    <cellStyle name="Accent3 149" xfId="4239" xr:uid="{00000000-0005-0000-0000-00008F100000}"/>
    <cellStyle name="Accent3 15" xfId="4240" xr:uid="{00000000-0005-0000-0000-000090100000}"/>
    <cellStyle name="Accent3 15 2" xfId="4241" xr:uid="{00000000-0005-0000-0000-000091100000}"/>
    <cellStyle name="Accent3 15 2 2" xfId="4242" xr:uid="{00000000-0005-0000-0000-000092100000}"/>
    <cellStyle name="Accent3 15 3" xfId="4243" xr:uid="{00000000-0005-0000-0000-000093100000}"/>
    <cellStyle name="Accent3 150" xfId="4244" xr:uid="{00000000-0005-0000-0000-000094100000}"/>
    <cellStyle name="Accent3 151" xfId="4245" xr:uid="{00000000-0005-0000-0000-000095100000}"/>
    <cellStyle name="Accent3 152" xfId="4246" xr:uid="{00000000-0005-0000-0000-000096100000}"/>
    <cellStyle name="Accent3 153" xfId="4247" xr:uid="{00000000-0005-0000-0000-000097100000}"/>
    <cellStyle name="Accent3 154" xfId="4248" xr:uid="{00000000-0005-0000-0000-000098100000}"/>
    <cellStyle name="Accent3 155" xfId="4249" xr:uid="{00000000-0005-0000-0000-000099100000}"/>
    <cellStyle name="Accent3 156" xfId="4250" xr:uid="{00000000-0005-0000-0000-00009A100000}"/>
    <cellStyle name="Accent3 157" xfId="4251" xr:uid="{00000000-0005-0000-0000-00009B100000}"/>
    <cellStyle name="Accent3 158" xfId="4252" xr:uid="{00000000-0005-0000-0000-00009C100000}"/>
    <cellStyle name="Accent3 159" xfId="4253" xr:uid="{00000000-0005-0000-0000-00009D100000}"/>
    <cellStyle name="Accent3 16" xfId="4254" xr:uid="{00000000-0005-0000-0000-00009E100000}"/>
    <cellStyle name="Accent3 16 2" xfId="4255" xr:uid="{00000000-0005-0000-0000-00009F100000}"/>
    <cellStyle name="Accent3 16 2 2" xfId="4256" xr:uid="{00000000-0005-0000-0000-0000A0100000}"/>
    <cellStyle name="Accent3 16 3" xfId="4257" xr:uid="{00000000-0005-0000-0000-0000A1100000}"/>
    <cellStyle name="Accent3 160" xfId="4258" xr:uid="{00000000-0005-0000-0000-0000A2100000}"/>
    <cellStyle name="Accent3 161" xfId="4259" xr:uid="{00000000-0005-0000-0000-0000A3100000}"/>
    <cellStyle name="Accent3 162" xfId="4260" xr:uid="{00000000-0005-0000-0000-0000A4100000}"/>
    <cellStyle name="Accent3 163" xfId="4261" xr:uid="{00000000-0005-0000-0000-0000A5100000}"/>
    <cellStyle name="Accent3 164" xfId="4262" xr:uid="{00000000-0005-0000-0000-0000A6100000}"/>
    <cellStyle name="Accent3 165" xfId="4263" xr:uid="{00000000-0005-0000-0000-0000A7100000}"/>
    <cellStyle name="Accent3 166" xfId="4264" xr:uid="{00000000-0005-0000-0000-0000A8100000}"/>
    <cellStyle name="Accent3 167" xfId="4265" xr:uid="{00000000-0005-0000-0000-0000A9100000}"/>
    <cellStyle name="Accent3 168" xfId="4266" xr:uid="{00000000-0005-0000-0000-0000AA100000}"/>
    <cellStyle name="Accent3 169" xfId="4267" xr:uid="{00000000-0005-0000-0000-0000AB100000}"/>
    <cellStyle name="Accent3 17" xfId="4268" xr:uid="{00000000-0005-0000-0000-0000AC100000}"/>
    <cellStyle name="Accent3 17 2" xfId="4269" xr:uid="{00000000-0005-0000-0000-0000AD100000}"/>
    <cellStyle name="Accent3 17 2 2" xfId="4270" xr:uid="{00000000-0005-0000-0000-0000AE100000}"/>
    <cellStyle name="Accent3 17 3" xfId="4271" xr:uid="{00000000-0005-0000-0000-0000AF100000}"/>
    <cellStyle name="Accent3 170" xfId="4272" xr:uid="{00000000-0005-0000-0000-0000B0100000}"/>
    <cellStyle name="Accent3 171" xfId="4273" xr:uid="{00000000-0005-0000-0000-0000B1100000}"/>
    <cellStyle name="Accent3 172" xfId="4274" xr:uid="{00000000-0005-0000-0000-0000B2100000}"/>
    <cellStyle name="Accent3 173" xfId="4275" xr:uid="{00000000-0005-0000-0000-0000B3100000}"/>
    <cellStyle name="Accent3 174" xfId="4276" xr:uid="{00000000-0005-0000-0000-0000B4100000}"/>
    <cellStyle name="Accent3 175" xfId="4277" xr:uid="{00000000-0005-0000-0000-0000B5100000}"/>
    <cellStyle name="Accent3 176" xfId="4278" xr:uid="{00000000-0005-0000-0000-0000B6100000}"/>
    <cellStyle name="Accent3 177" xfId="4279" xr:uid="{00000000-0005-0000-0000-0000B7100000}"/>
    <cellStyle name="Accent3 178" xfId="4280" xr:uid="{00000000-0005-0000-0000-0000B8100000}"/>
    <cellStyle name="Accent3 179" xfId="4281" xr:uid="{00000000-0005-0000-0000-0000B9100000}"/>
    <cellStyle name="Accent3 18" xfId="4282" xr:uid="{00000000-0005-0000-0000-0000BA100000}"/>
    <cellStyle name="Accent3 18 2" xfId="4283" xr:uid="{00000000-0005-0000-0000-0000BB100000}"/>
    <cellStyle name="Accent3 18 2 2" xfId="4284" xr:uid="{00000000-0005-0000-0000-0000BC100000}"/>
    <cellStyle name="Accent3 18 3" xfId="4285" xr:uid="{00000000-0005-0000-0000-0000BD100000}"/>
    <cellStyle name="Accent3 19" xfId="4286" xr:uid="{00000000-0005-0000-0000-0000BE100000}"/>
    <cellStyle name="Accent3 19 2" xfId="4287" xr:uid="{00000000-0005-0000-0000-0000BF100000}"/>
    <cellStyle name="Accent3 19 2 2" xfId="4288" xr:uid="{00000000-0005-0000-0000-0000C0100000}"/>
    <cellStyle name="Accent3 19 3" xfId="4289" xr:uid="{00000000-0005-0000-0000-0000C1100000}"/>
    <cellStyle name="Accent3 2" xfId="4290" xr:uid="{00000000-0005-0000-0000-0000C2100000}"/>
    <cellStyle name="Accent3 2 10" xfId="4291" xr:uid="{00000000-0005-0000-0000-0000C3100000}"/>
    <cellStyle name="Accent3 2 10 2" xfId="4292" xr:uid="{00000000-0005-0000-0000-0000C4100000}"/>
    <cellStyle name="Accent3 2 11" xfId="4293" xr:uid="{00000000-0005-0000-0000-0000C5100000}"/>
    <cellStyle name="Accent3 2 12" xfId="4294" xr:uid="{00000000-0005-0000-0000-0000C6100000}"/>
    <cellStyle name="Accent3 2 2" xfId="4295" xr:uid="{00000000-0005-0000-0000-0000C7100000}"/>
    <cellStyle name="Accent3 2 2 2" xfId="4296" xr:uid="{00000000-0005-0000-0000-0000C8100000}"/>
    <cellStyle name="Accent3 2 2 2 2" xfId="4297" xr:uid="{00000000-0005-0000-0000-0000C9100000}"/>
    <cellStyle name="Accent3 2 2 3" xfId="4298" xr:uid="{00000000-0005-0000-0000-0000CA100000}"/>
    <cellStyle name="Accent3 2 2 3 2" xfId="4299" xr:uid="{00000000-0005-0000-0000-0000CB100000}"/>
    <cellStyle name="Accent3 2 2 3 2 2" xfId="4300" xr:uid="{00000000-0005-0000-0000-0000CC100000}"/>
    <cellStyle name="Accent3 2 2 3 3" xfId="4301" xr:uid="{00000000-0005-0000-0000-0000CD100000}"/>
    <cellStyle name="Accent3 2 2 4" xfId="4302" xr:uid="{00000000-0005-0000-0000-0000CE100000}"/>
    <cellStyle name="Accent3 2 3" xfId="4303" xr:uid="{00000000-0005-0000-0000-0000CF100000}"/>
    <cellStyle name="Accent3 2 3 2" xfId="4304" xr:uid="{00000000-0005-0000-0000-0000D0100000}"/>
    <cellStyle name="Accent3 2 3 2 2" xfId="4305" xr:uid="{00000000-0005-0000-0000-0000D1100000}"/>
    <cellStyle name="Accent3 2 3 3" xfId="4306" xr:uid="{00000000-0005-0000-0000-0000D2100000}"/>
    <cellStyle name="Accent3 2 3 3 2" xfId="4307" xr:uid="{00000000-0005-0000-0000-0000D3100000}"/>
    <cellStyle name="Accent3 2 3 3 2 2" xfId="4308" xr:uid="{00000000-0005-0000-0000-0000D4100000}"/>
    <cellStyle name="Accent3 2 3 3 3" xfId="4309" xr:uid="{00000000-0005-0000-0000-0000D5100000}"/>
    <cellStyle name="Accent3 2 3 4" xfId="4310" xr:uid="{00000000-0005-0000-0000-0000D6100000}"/>
    <cellStyle name="Accent3 2 4" xfId="4311" xr:uid="{00000000-0005-0000-0000-0000D7100000}"/>
    <cellStyle name="Accent3 2 4 2" xfId="4312" xr:uid="{00000000-0005-0000-0000-0000D8100000}"/>
    <cellStyle name="Accent3 2 4 2 2" xfId="4313" xr:uid="{00000000-0005-0000-0000-0000D9100000}"/>
    <cellStyle name="Accent3 2 4 3" xfId="4314" xr:uid="{00000000-0005-0000-0000-0000DA100000}"/>
    <cellStyle name="Accent3 2 5" xfId="4315" xr:uid="{00000000-0005-0000-0000-0000DB100000}"/>
    <cellStyle name="Accent3 2 5 2" xfId="4316" xr:uid="{00000000-0005-0000-0000-0000DC100000}"/>
    <cellStyle name="Accent3 2 5 2 2" xfId="4317" xr:uid="{00000000-0005-0000-0000-0000DD100000}"/>
    <cellStyle name="Accent3 2 5 3" xfId="4318" xr:uid="{00000000-0005-0000-0000-0000DE100000}"/>
    <cellStyle name="Accent3 2 5 3 2" xfId="4319" xr:uid="{00000000-0005-0000-0000-0000DF100000}"/>
    <cellStyle name="Accent3 2 5 3 2 2" xfId="4320" xr:uid="{00000000-0005-0000-0000-0000E0100000}"/>
    <cellStyle name="Accent3 2 5 3 3" xfId="4321" xr:uid="{00000000-0005-0000-0000-0000E1100000}"/>
    <cellStyle name="Accent3 2 5 4" xfId="4322" xr:uid="{00000000-0005-0000-0000-0000E2100000}"/>
    <cellStyle name="Accent3 2 6" xfId="4323" xr:uid="{00000000-0005-0000-0000-0000E3100000}"/>
    <cellStyle name="Accent3 2 6 2" xfId="4324" xr:uid="{00000000-0005-0000-0000-0000E4100000}"/>
    <cellStyle name="Accent3 2 6 2 2" xfId="4325" xr:uid="{00000000-0005-0000-0000-0000E5100000}"/>
    <cellStyle name="Accent3 2 6 3" xfId="4326" xr:uid="{00000000-0005-0000-0000-0000E6100000}"/>
    <cellStyle name="Accent3 2 6 3 2" xfId="4327" xr:uid="{00000000-0005-0000-0000-0000E7100000}"/>
    <cellStyle name="Accent3 2 6 4" xfId="4328" xr:uid="{00000000-0005-0000-0000-0000E8100000}"/>
    <cellStyle name="Accent3 2 7" xfId="4329" xr:uid="{00000000-0005-0000-0000-0000E9100000}"/>
    <cellStyle name="Accent3 2 7 2" xfId="4330" xr:uid="{00000000-0005-0000-0000-0000EA100000}"/>
    <cellStyle name="Accent3 2 8" xfId="4331" xr:uid="{00000000-0005-0000-0000-0000EB100000}"/>
    <cellStyle name="Accent3 2 8 2" xfId="4332" xr:uid="{00000000-0005-0000-0000-0000EC100000}"/>
    <cellStyle name="Accent3 2 8 2 2" xfId="4333" xr:uid="{00000000-0005-0000-0000-0000ED100000}"/>
    <cellStyle name="Accent3 2 8 3" xfId="4334" xr:uid="{00000000-0005-0000-0000-0000EE100000}"/>
    <cellStyle name="Accent3 2 9" xfId="4335" xr:uid="{00000000-0005-0000-0000-0000EF100000}"/>
    <cellStyle name="Accent3 2 9 2" xfId="4336" xr:uid="{00000000-0005-0000-0000-0000F0100000}"/>
    <cellStyle name="Accent3 2 9 2 2" xfId="4337" xr:uid="{00000000-0005-0000-0000-0000F1100000}"/>
    <cellStyle name="Accent3 2 9 3" xfId="4338" xr:uid="{00000000-0005-0000-0000-0000F2100000}"/>
    <cellStyle name="Accent3 20" xfId="4339" xr:uid="{00000000-0005-0000-0000-0000F3100000}"/>
    <cellStyle name="Accent3 20 2" xfId="4340" xr:uid="{00000000-0005-0000-0000-0000F4100000}"/>
    <cellStyle name="Accent3 20 2 2" xfId="4341" xr:uid="{00000000-0005-0000-0000-0000F5100000}"/>
    <cellStyle name="Accent3 20 3" xfId="4342" xr:uid="{00000000-0005-0000-0000-0000F6100000}"/>
    <cellStyle name="Accent3 21" xfId="4343" xr:uid="{00000000-0005-0000-0000-0000F7100000}"/>
    <cellStyle name="Accent3 21 2" xfId="4344" xr:uid="{00000000-0005-0000-0000-0000F8100000}"/>
    <cellStyle name="Accent3 21 2 2" xfId="4345" xr:uid="{00000000-0005-0000-0000-0000F9100000}"/>
    <cellStyle name="Accent3 21 3" xfId="4346" xr:uid="{00000000-0005-0000-0000-0000FA100000}"/>
    <cellStyle name="Accent3 22" xfId="4347" xr:uid="{00000000-0005-0000-0000-0000FB100000}"/>
    <cellStyle name="Accent3 22 2" xfId="4348" xr:uid="{00000000-0005-0000-0000-0000FC100000}"/>
    <cellStyle name="Accent3 22 2 2" xfId="4349" xr:uid="{00000000-0005-0000-0000-0000FD100000}"/>
    <cellStyle name="Accent3 22 3" xfId="4350" xr:uid="{00000000-0005-0000-0000-0000FE100000}"/>
    <cellStyle name="Accent3 23" xfId="4351" xr:uid="{00000000-0005-0000-0000-0000FF100000}"/>
    <cellStyle name="Accent3 23 2" xfId="4352" xr:uid="{00000000-0005-0000-0000-000000110000}"/>
    <cellStyle name="Accent3 23 2 2" xfId="4353" xr:uid="{00000000-0005-0000-0000-000001110000}"/>
    <cellStyle name="Accent3 23 3" xfId="4354" xr:uid="{00000000-0005-0000-0000-000002110000}"/>
    <cellStyle name="Accent3 24" xfId="4355" xr:uid="{00000000-0005-0000-0000-000003110000}"/>
    <cellStyle name="Accent3 24 2" xfId="4356" xr:uid="{00000000-0005-0000-0000-000004110000}"/>
    <cellStyle name="Accent3 24 2 2" xfId="4357" xr:uid="{00000000-0005-0000-0000-000005110000}"/>
    <cellStyle name="Accent3 24 3" xfId="4358" xr:uid="{00000000-0005-0000-0000-000006110000}"/>
    <cellStyle name="Accent3 25" xfId="4359" xr:uid="{00000000-0005-0000-0000-000007110000}"/>
    <cellStyle name="Accent3 25 2" xfId="4360" xr:uid="{00000000-0005-0000-0000-000008110000}"/>
    <cellStyle name="Accent3 25 2 2" xfId="4361" xr:uid="{00000000-0005-0000-0000-000009110000}"/>
    <cellStyle name="Accent3 25 3" xfId="4362" xr:uid="{00000000-0005-0000-0000-00000A110000}"/>
    <cellStyle name="Accent3 26" xfId="4363" xr:uid="{00000000-0005-0000-0000-00000B110000}"/>
    <cellStyle name="Accent3 26 2" xfId="4364" xr:uid="{00000000-0005-0000-0000-00000C110000}"/>
    <cellStyle name="Accent3 26 2 2" xfId="4365" xr:uid="{00000000-0005-0000-0000-00000D110000}"/>
    <cellStyle name="Accent3 26 3" xfId="4366" xr:uid="{00000000-0005-0000-0000-00000E110000}"/>
    <cellStyle name="Accent3 27" xfId="4367" xr:uid="{00000000-0005-0000-0000-00000F110000}"/>
    <cellStyle name="Accent3 27 2" xfId="4368" xr:uid="{00000000-0005-0000-0000-000010110000}"/>
    <cellStyle name="Accent3 27 2 2" xfId="4369" xr:uid="{00000000-0005-0000-0000-000011110000}"/>
    <cellStyle name="Accent3 27 3" xfId="4370" xr:uid="{00000000-0005-0000-0000-000012110000}"/>
    <cellStyle name="Accent3 28" xfId="4371" xr:uid="{00000000-0005-0000-0000-000013110000}"/>
    <cellStyle name="Accent3 28 2" xfId="4372" xr:uid="{00000000-0005-0000-0000-000014110000}"/>
    <cellStyle name="Accent3 28 2 2" xfId="4373" xr:uid="{00000000-0005-0000-0000-000015110000}"/>
    <cellStyle name="Accent3 28 3" xfId="4374" xr:uid="{00000000-0005-0000-0000-000016110000}"/>
    <cellStyle name="Accent3 29" xfId="4375" xr:uid="{00000000-0005-0000-0000-000017110000}"/>
    <cellStyle name="Accent3 29 2" xfId="4376" xr:uid="{00000000-0005-0000-0000-000018110000}"/>
    <cellStyle name="Accent3 29 2 2" xfId="4377" xr:uid="{00000000-0005-0000-0000-000019110000}"/>
    <cellStyle name="Accent3 29 3" xfId="4378" xr:uid="{00000000-0005-0000-0000-00001A110000}"/>
    <cellStyle name="Accent3 3" xfId="4379" xr:uid="{00000000-0005-0000-0000-00001B110000}"/>
    <cellStyle name="Accent3 3 10" xfId="4380" xr:uid="{00000000-0005-0000-0000-00001C110000}"/>
    <cellStyle name="Accent3 3 10 2" xfId="4381" xr:uid="{00000000-0005-0000-0000-00001D110000}"/>
    <cellStyle name="Accent3 3 10 2 2" xfId="4382" xr:uid="{00000000-0005-0000-0000-00001E110000}"/>
    <cellStyle name="Accent3 3 10 3" xfId="4383" xr:uid="{00000000-0005-0000-0000-00001F110000}"/>
    <cellStyle name="Accent3 3 11" xfId="4384" xr:uid="{00000000-0005-0000-0000-000020110000}"/>
    <cellStyle name="Accent3 3 11 2" xfId="4385" xr:uid="{00000000-0005-0000-0000-000021110000}"/>
    <cellStyle name="Accent3 3 12" xfId="4386" xr:uid="{00000000-0005-0000-0000-000022110000}"/>
    <cellStyle name="Accent3 3 2" xfId="4387" xr:uid="{00000000-0005-0000-0000-000023110000}"/>
    <cellStyle name="Accent3 3 2 2" xfId="4388" xr:uid="{00000000-0005-0000-0000-000024110000}"/>
    <cellStyle name="Accent3 3 2 2 2" xfId="4389" xr:uid="{00000000-0005-0000-0000-000025110000}"/>
    <cellStyle name="Accent3 3 2 3" xfId="4390" xr:uid="{00000000-0005-0000-0000-000026110000}"/>
    <cellStyle name="Accent3 3 2 3 2" xfId="4391" xr:uid="{00000000-0005-0000-0000-000027110000}"/>
    <cellStyle name="Accent3 3 2 3 2 2" xfId="4392" xr:uid="{00000000-0005-0000-0000-000028110000}"/>
    <cellStyle name="Accent3 3 2 3 3" xfId="4393" xr:uid="{00000000-0005-0000-0000-000029110000}"/>
    <cellStyle name="Accent3 3 2 4" xfId="4394" xr:uid="{00000000-0005-0000-0000-00002A110000}"/>
    <cellStyle name="Accent3 3 3" xfId="4395" xr:uid="{00000000-0005-0000-0000-00002B110000}"/>
    <cellStyle name="Accent3 3 3 2" xfId="4396" xr:uid="{00000000-0005-0000-0000-00002C110000}"/>
    <cellStyle name="Accent3 3 3 2 2" xfId="4397" xr:uid="{00000000-0005-0000-0000-00002D110000}"/>
    <cellStyle name="Accent3 3 3 3" xfId="4398" xr:uid="{00000000-0005-0000-0000-00002E110000}"/>
    <cellStyle name="Accent3 3 3 3 2" xfId="4399" xr:uid="{00000000-0005-0000-0000-00002F110000}"/>
    <cellStyle name="Accent3 3 3 3 2 2" xfId="4400" xr:uid="{00000000-0005-0000-0000-000030110000}"/>
    <cellStyle name="Accent3 3 3 3 3" xfId="4401" xr:uid="{00000000-0005-0000-0000-000031110000}"/>
    <cellStyle name="Accent3 3 3 4" xfId="4402" xr:uid="{00000000-0005-0000-0000-000032110000}"/>
    <cellStyle name="Accent3 3 4" xfId="4403" xr:uid="{00000000-0005-0000-0000-000033110000}"/>
    <cellStyle name="Accent3 3 4 2" xfId="4404" xr:uid="{00000000-0005-0000-0000-000034110000}"/>
    <cellStyle name="Accent3 3 4 2 2" xfId="4405" xr:uid="{00000000-0005-0000-0000-000035110000}"/>
    <cellStyle name="Accent3 3 4 3" xfId="4406" xr:uid="{00000000-0005-0000-0000-000036110000}"/>
    <cellStyle name="Accent3 3 5" xfId="4407" xr:uid="{00000000-0005-0000-0000-000037110000}"/>
    <cellStyle name="Accent3 3 5 2" xfId="4408" xr:uid="{00000000-0005-0000-0000-000038110000}"/>
    <cellStyle name="Accent3 3 5 2 2" xfId="4409" xr:uid="{00000000-0005-0000-0000-000039110000}"/>
    <cellStyle name="Accent3 3 5 3" xfId="4410" xr:uid="{00000000-0005-0000-0000-00003A110000}"/>
    <cellStyle name="Accent3 3 5 3 2" xfId="4411" xr:uid="{00000000-0005-0000-0000-00003B110000}"/>
    <cellStyle name="Accent3 3 5 3 2 2" xfId="4412" xr:uid="{00000000-0005-0000-0000-00003C110000}"/>
    <cellStyle name="Accent3 3 5 3 3" xfId="4413" xr:uid="{00000000-0005-0000-0000-00003D110000}"/>
    <cellStyle name="Accent3 3 5 4" xfId="4414" xr:uid="{00000000-0005-0000-0000-00003E110000}"/>
    <cellStyle name="Accent3 3 6" xfId="4415" xr:uid="{00000000-0005-0000-0000-00003F110000}"/>
    <cellStyle name="Accent3 3 6 2" xfId="4416" xr:uid="{00000000-0005-0000-0000-000040110000}"/>
    <cellStyle name="Accent3 3 7" xfId="4417" xr:uid="{00000000-0005-0000-0000-000041110000}"/>
    <cellStyle name="Accent3 3 7 2" xfId="4418" xr:uid="{00000000-0005-0000-0000-000042110000}"/>
    <cellStyle name="Accent3 3 8" xfId="4419" xr:uid="{00000000-0005-0000-0000-000043110000}"/>
    <cellStyle name="Accent3 3 8 2" xfId="4420" xr:uid="{00000000-0005-0000-0000-000044110000}"/>
    <cellStyle name="Accent3 3 8 2 2" xfId="4421" xr:uid="{00000000-0005-0000-0000-000045110000}"/>
    <cellStyle name="Accent3 3 8 3" xfId="4422" xr:uid="{00000000-0005-0000-0000-000046110000}"/>
    <cellStyle name="Accent3 3 9" xfId="4423" xr:uid="{00000000-0005-0000-0000-000047110000}"/>
    <cellStyle name="Accent3 3 9 2" xfId="4424" xr:uid="{00000000-0005-0000-0000-000048110000}"/>
    <cellStyle name="Accent3 3 9 2 2" xfId="4425" xr:uid="{00000000-0005-0000-0000-000049110000}"/>
    <cellStyle name="Accent3 3 9 3" xfId="4426" xr:uid="{00000000-0005-0000-0000-00004A110000}"/>
    <cellStyle name="Accent3 30" xfId="4427" xr:uid="{00000000-0005-0000-0000-00004B110000}"/>
    <cellStyle name="Accent3 30 2" xfId="4428" xr:uid="{00000000-0005-0000-0000-00004C110000}"/>
    <cellStyle name="Accent3 30 2 2" xfId="4429" xr:uid="{00000000-0005-0000-0000-00004D110000}"/>
    <cellStyle name="Accent3 30 3" xfId="4430" xr:uid="{00000000-0005-0000-0000-00004E110000}"/>
    <cellStyle name="Accent3 31" xfId="4431" xr:uid="{00000000-0005-0000-0000-00004F110000}"/>
    <cellStyle name="Accent3 31 2" xfId="4432" xr:uid="{00000000-0005-0000-0000-000050110000}"/>
    <cellStyle name="Accent3 31 2 2" xfId="4433" xr:uid="{00000000-0005-0000-0000-000051110000}"/>
    <cellStyle name="Accent3 31 3" xfId="4434" xr:uid="{00000000-0005-0000-0000-000052110000}"/>
    <cellStyle name="Accent3 32" xfId="4435" xr:uid="{00000000-0005-0000-0000-000053110000}"/>
    <cellStyle name="Accent3 32 2" xfId="4436" xr:uid="{00000000-0005-0000-0000-000054110000}"/>
    <cellStyle name="Accent3 32 2 2" xfId="4437" xr:uid="{00000000-0005-0000-0000-000055110000}"/>
    <cellStyle name="Accent3 32 3" xfId="4438" xr:uid="{00000000-0005-0000-0000-000056110000}"/>
    <cellStyle name="Accent3 33" xfId="4439" xr:uid="{00000000-0005-0000-0000-000057110000}"/>
    <cellStyle name="Accent3 33 2" xfId="4440" xr:uid="{00000000-0005-0000-0000-000058110000}"/>
    <cellStyle name="Accent3 33 2 2" xfId="4441" xr:uid="{00000000-0005-0000-0000-000059110000}"/>
    <cellStyle name="Accent3 33 3" xfId="4442" xr:uid="{00000000-0005-0000-0000-00005A110000}"/>
    <cellStyle name="Accent3 34" xfId="4443" xr:uid="{00000000-0005-0000-0000-00005B110000}"/>
    <cellStyle name="Accent3 34 2" xfId="4444" xr:uid="{00000000-0005-0000-0000-00005C110000}"/>
    <cellStyle name="Accent3 34 2 2" xfId="4445" xr:uid="{00000000-0005-0000-0000-00005D110000}"/>
    <cellStyle name="Accent3 34 3" xfId="4446" xr:uid="{00000000-0005-0000-0000-00005E110000}"/>
    <cellStyle name="Accent3 35" xfId="4447" xr:uid="{00000000-0005-0000-0000-00005F110000}"/>
    <cellStyle name="Accent3 35 2" xfId="4448" xr:uid="{00000000-0005-0000-0000-000060110000}"/>
    <cellStyle name="Accent3 35 2 2" xfId="4449" xr:uid="{00000000-0005-0000-0000-000061110000}"/>
    <cellStyle name="Accent3 35 3" xfId="4450" xr:uid="{00000000-0005-0000-0000-000062110000}"/>
    <cellStyle name="Accent3 36" xfId="4451" xr:uid="{00000000-0005-0000-0000-000063110000}"/>
    <cellStyle name="Accent3 36 2" xfId="4452" xr:uid="{00000000-0005-0000-0000-000064110000}"/>
    <cellStyle name="Accent3 36 2 2" xfId="4453" xr:uid="{00000000-0005-0000-0000-000065110000}"/>
    <cellStyle name="Accent3 36 3" xfId="4454" xr:uid="{00000000-0005-0000-0000-000066110000}"/>
    <cellStyle name="Accent3 37" xfId="4455" xr:uid="{00000000-0005-0000-0000-000067110000}"/>
    <cellStyle name="Accent3 37 2" xfId="4456" xr:uid="{00000000-0005-0000-0000-000068110000}"/>
    <cellStyle name="Accent3 37 2 2" xfId="4457" xr:uid="{00000000-0005-0000-0000-000069110000}"/>
    <cellStyle name="Accent3 37 3" xfId="4458" xr:uid="{00000000-0005-0000-0000-00006A110000}"/>
    <cellStyle name="Accent3 38" xfId="4459" xr:uid="{00000000-0005-0000-0000-00006B110000}"/>
    <cellStyle name="Accent3 38 2" xfId="4460" xr:uid="{00000000-0005-0000-0000-00006C110000}"/>
    <cellStyle name="Accent3 38 2 2" xfId="4461" xr:uid="{00000000-0005-0000-0000-00006D110000}"/>
    <cellStyle name="Accent3 38 3" xfId="4462" xr:uid="{00000000-0005-0000-0000-00006E110000}"/>
    <cellStyle name="Accent3 39" xfId="4463" xr:uid="{00000000-0005-0000-0000-00006F110000}"/>
    <cellStyle name="Accent3 39 2" xfId="4464" xr:uid="{00000000-0005-0000-0000-000070110000}"/>
    <cellStyle name="Accent3 39 2 2" xfId="4465" xr:uid="{00000000-0005-0000-0000-000071110000}"/>
    <cellStyle name="Accent3 39 3" xfId="4466" xr:uid="{00000000-0005-0000-0000-000072110000}"/>
    <cellStyle name="Accent3 4" xfId="4467" xr:uid="{00000000-0005-0000-0000-000073110000}"/>
    <cellStyle name="Accent3 4 2" xfId="4468" xr:uid="{00000000-0005-0000-0000-000074110000}"/>
    <cellStyle name="Accent3 4 2 2" xfId="4469" xr:uid="{00000000-0005-0000-0000-000075110000}"/>
    <cellStyle name="Accent3 4 2 2 2" xfId="4470" xr:uid="{00000000-0005-0000-0000-000076110000}"/>
    <cellStyle name="Accent3 4 2 3" xfId="4471" xr:uid="{00000000-0005-0000-0000-000077110000}"/>
    <cellStyle name="Accent3 4 2 3 2" xfId="4472" xr:uid="{00000000-0005-0000-0000-000078110000}"/>
    <cellStyle name="Accent3 4 2 3 2 2" xfId="4473" xr:uid="{00000000-0005-0000-0000-000079110000}"/>
    <cellStyle name="Accent3 4 2 3 3" xfId="4474" xr:uid="{00000000-0005-0000-0000-00007A110000}"/>
    <cellStyle name="Accent3 4 2 4" xfId="4475" xr:uid="{00000000-0005-0000-0000-00007B110000}"/>
    <cellStyle name="Accent3 4 3" xfId="4476" xr:uid="{00000000-0005-0000-0000-00007C110000}"/>
    <cellStyle name="Accent3 4 3 2" xfId="4477" xr:uid="{00000000-0005-0000-0000-00007D110000}"/>
    <cellStyle name="Accent3 4 3 2 2" xfId="4478" xr:uid="{00000000-0005-0000-0000-00007E110000}"/>
    <cellStyle name="Accent3 4 3 3" xfId="4479" xr:uid="{00000000-0005-0000-0000-00007F110000}"/>
    <cellStyle name="Accent3 4 3 3 2" xfId="4480" xr:uid="{00000000-0005-0000-0000-000080110000}"/>
    <cellStyle name="Accent3 4 3 3 2 2" xfId="4481" xr:uid="{00000000-0005-0000-0000-000081110000}"/>
    <cellStyle name="Accent3 4 3 3 3" xfId="4482" xr:uid="{00000000-0005-0000-0000-000082110000}"/>
    <cellStyle name="Accent3 4 3 4" xfId="4483" xr:uid="{00000000-0005-0000-0000-000083110000}"/>
    <cellStyle name="Accent3 4 4" xfId="4484" xr:uid="{00000000-0005-0000-0000-000084110000}"/>
    <cellStyle name="Accent3 4 4 2" xfId="4485" xr:uid="{00000000-0005-0000-0000-000085110000}"/>
    <cellStyle name="Accent3 4 4 2 2" xfId="4486" xr:uid="{00000000-0005-0000-0000-000086110000}"/>
    <cellStyle name="Accent3 4 4 3" xfId="4487" xr:uid="{00000000-0005-0000-0000-000087110000}"/>
    <cellStyle name="Accent3 4 5" xfId="4488" xr:uid="{00000000-0005-0000-0000-000088110000}"/>
    <cellStyle name="Accent3 4 5 2" xfId="4489" xr:uid="{00000000-0005-0000-0000-000089110000}"/>
    <cellStyle name="Accent3 4 6" xfId="4490" xr:uid="{00000000-0005-0000-0000-00008A110000}"/>
    <cellStyle name="Accent3 4 6 2" xfId="4491" xr:uid="{00000000-0005-0000-0000-00008B110000}"/>
    <cellStyle name="Accent3 4 6 2 2" xfId="4492" xr:uid="{00000000-0005-0000-0000-00008C110000}"/>
    <cellStyle name="Accent3 4 6 3" xfId="4493" xr:uid="{00000000-0005-0000-0000-00008D110000}"/>
    <cellStyle name="Accent3 4 7" xfId="4494" xr:uid="{00000000-0005-0000-0000-00008E110000}"/>
    <cellStyle name="Accent3 4 7 2" xfId="4495" xr:uid="{00000000-0005-0000-0000-00008F110000}"/>
    <cellStyle name="Accent3 4 7 2 2" xfId="4496" xr:uid="{00000000-0005-0000-0000-000090110000}"/>
    <cellStyle name="Accent3 4 7 3" xfId="4497" xr:uid="{00000000-0005-0000-0000-000091110000}"/>
    <cellStyle name="Accent3 4 8" xfId="4498" xr:uid="{00000000-0005-0000-0000-000092110000}"/>
    <cellStyle name="Accent3 40" xfId="4499" xr:uid="{00000000-0005-0000-0000-000093110000}"/>
    <cellStyle name="Accent3 40 2" xfId="4500" xr:uid="{00000000-0005-0000-0000-000094110000}"/>
    <cellStyle name="Accent3 40 2 2" xfId="4501" xr:uid="{00000000-0005-0000-0000-000095110000}"/>
    <cellStyle name="Accent3 40 3" xfId="4502" xr:uid="{00000000-0005-0000-0000-000096110000}"/>
    <cellStyle name="Accent3 41" xfId="4503" xr:uid="{00000000-0005-0000-0000-000097110000}"/>
    <cellStyle name="Accent3 41 2" xfId="4504" xr:uid="{00000000-0005-0000-0000-000098110000}"/>
    <cellStyle name="Accent3 41 2 2" xfId="4505" xr:uid="{00000000-0005-0000-0000-000099110000}"/>
    <cellStyle name="Accent3 41 3" xfId="4506" xr:uid="{00000000-0005-0000-0000-00009A110000}"/>
    <cellStyle name="Accent3 42" xfId="4507" xr:uid="{00000000-0005-0000-0000-00009B110000}"/>
    <cellStyle name="Accent3 42 2" xfId="4508" xr:uid="{00000000-0005-0000-0000-00009C110000}"/>
    <cellStyle name="Accent3 42 2 2" xfId="4509" xr:uid="{00000000-0005-0000-0000-00009D110000}"/>
    <cellStyle name="Accent3 42 3" xfId="4510" xr:uid="{00000000-0005-0000-0000-00009E110000}"/>
    <cellStyle name="Accent3 43" xfId="4511" xr:uid="{00000000-0005-0000-0000-00009F110000}"/>
    <cellStyle name="Accent3 43 2" xfId="4512" xr:uid="{00000000-0005-0000-0000-0000A0110000}"/>
    <cellStyle name="Accent3 43 2 2" xfId="4513" xr:uid="{00000000-0005-0000-0000-0000A1110000}"/>
    <cellStyle name="Accent3 43 3" xfId="4514" xr:uid="{00000000-0005-0000-0000-0000A2110000}"/>
    <cellStyle name="Accent3 44" xfId="4515" xr:uid="{00000000-0005-0000-0000-0000A3110000}"/>
    <cellStyle name="Accent3 44 2" xfId="4516" xr:uid="{00000000-0005-0000-0000-0000A4110000}"/>
    <cellStyle name="Accent3 44 2 2" xfId="4517" xr:uid="{00000000-0005-0000-0000-0000A5110000}"/>
    <cellStyle name="Accent3 44 3" xfId="4518" xr:uid="{00000000-0005-0000-0000-0000A6110000}"/>
    <cellStyle name="Accent3 45" xfId="4519" xr:uid="{00000000-0005-0000-0000-0000A7110000}"/>
    <cellStyle name="Accent3 45 2" xfId="4520" xr:uid="{00000000-0005-0000-0000-0000A8110000}"/>
    <cellStyle name="Accent3 45 2 2" xfId="4521" xr:uid="{00000000-0005-0000-0000-0000A9110000}"/>
    <cellStyle name="Accent3 45 3" xfId="4522" xr:uid="{00000000-0005-0000-0000-0000AA110000}"/>
    <cellStyle name="Accent3 46" xfId="4523" xr:uid="{00000000-0005-0000-0000-0000AB110000}"/>
    <cellStyle name="Accent3 46 2" xfId="4524" xr:uid="{00000000-0005-0000-0000-0000AC110000}"/>
    <cellStyle name="Accent3 46 2 2" xfId="4525" xr:uid="{00000000-0005-0000-0000-0000AD110000}"/>
    <cellStyle name="Accent3 46 3" xfId="4526" xr:uid="{00000000-0005-0000-0000-0000AE110000}"/>
    <cellStyle name="Accent3 47" xfId="4527" xr:uid="{00000000-0005-0000-0000-0000AF110000}"/>
    <cellStyle name="Accent3 47 2" xfId="4528" xr:uid="{00000000-0005-0000-0000-0000B0110000}"/>
    <cellStyle name="Accent3 47 2 2" xfId="4529" xr:uid="{00000000-0005-0000-0000-0000B1110000}"/>
    <cellStyle name="Accent3 47 3" xfId="4530" xr:uid="{00000000-0005-0000-0000-0000B2110000}"/>
    <cellStyle name="Accent3 48" xfId="4531" xr:uid="{00000000-0005-0000-0000-0000B3110000}"/>
    <cellStyle name="Accent3 48 2" xfId="4532" xr:uid="{00000000-0005-0000-0000-0000B4110000}"/>
    <cellStyle name="Accent3 48 2 2" xfId="4533" xr:uid="{00000000-0005-0000-0000-0000B5110000}"/>
    <cellStyle name="Accent3 48 3" xfId="4534" xr:uid="{00000000-0005-0000-0000-0000B6110000}"/>
    <cellStyle name="Accent3 48 3 2" xfId="4535" xr:uid="{00000000-0005-0000-0000-0000B7110000}"/>
    <cellStyle name="Accent3 48 3 2 2" xfId="4536" xr:uid="{00000000-0005-0000-0000-0000B8110000}"/>
    <cellStyle name="Accent3 48 3 3" xfId="4537" xr:uid="{00000000-0005-0000-0000-0000B9110000}"/>
    <cellStyle name="Accent3 48 4" xfId="4538" xr:uid="{00000000-0005-0000-0000-0000BA110000}"/>
    <cellStyle name="Accent3 49" xfId="4539" xr:uid="{00000000-0005-0000-0000-0000BB110000}"/>
    <cellStyle name="Accent3 49 2" xfId="4540" xr:uid="{00000000-0005-0000-0000-0000BC110000}"/>
    <cellStyle name="Accent3 49 2 2" xfId="4541" xr:uid="{00000000-0005-0000-0000-0000BD110000}"/>
    <cellStyle name="Accent3 49 3" xfId="4542" xr:uid="{00000000-0005-0000-0000-0000BE110000}"/>
    <cellStyle name="Accent3 49 3 2" xfId="4543" xr:uid="{00000000-0005-0000-0000-0000BF110000}"/>
    <cellStyle name="Accent3 49 3 2 2" xfId="4544" xr:uid="{00000000-0005-0000-0000-0000C0110000}"/>
    <cellStyle name="Accent3 49 3 3" xfId="4545" xr:uid="{00000000-0005-0000-0000-0000C1110000}"/>
    <cellStyle name="Accent3 49 4" xfId="4546" xr:uid="{00000000-0005-0000-0000-0000C2110000}"/>
    <cellStyle name="Accent3 5" xfId="4547" xr:uid="{00000000-0005-0000-0000-0000C3110000}"/>
    <cellStyle name="Accent3 5 2" xfId="4548" xr:uid="{00000000-0005-0000-0000-0000C4110000}"/>
    <cellStyle name="Accent3 5 2 2" xfId="4549" xr:uid="{00000000-0005-0000-0000-0000C5110000}"/>
    <cellStyle name="Accent3 5 2 2 2" xfId="4550" xr:uid="{00000000-0005-0000-0000-0000C6110000}"/>
    <cellStyle name="Accent3 5 2 3" xfId="4551" xr:uid="{00000000-0005-0000-0000-0000C7110000}"/>
    <cellStyle name="Accent3 5 2 3 2" xfId="4552" xr:uid="{00000000-0005-0000-0000-0000C8110000}"/>
    <cellStyle name="Accent3 5 2 3 2 2" xfId="4553" xr:uid="{00000000-0005-0000-0000-0000C9110000}"/>
    <cellStyle name="Accent3 5 2 3 3" xfId="4554" xr:uid="{00000000-0005-0000-0000-0000CA110000}"/>
    <cellStyle name="Accent3 5 2 4" xfId="4555" xr:uid="{00000000-0005-0000-0000-0000CB110000}"/>
    <cellStyle name="Accent3 5 3" xfId="4556" xr:uid="{00000000-0005-0000-0000-0000CC110000}"/>
    <cellStyle name="Accent3 5 3 2" xfId="4557" xr:uid="{00000000-0005-0000-0000-0000CD110000}"/>
    <cellStyle name="Accent3 5 3 2 2" xfId="4558" xr:uid="{00000000-0005-0000-0000-0000CE110000}"/>
    <cellStyle name="Accent3 5 3 3" xfId="4559" xr:uid="{00000000-0005-0000-0000-0000CF110000}"/>
    <cellStyle name="Accent3 5 3 3 2" xfId="4560" xr:uid="{00000000-0005-0000-0000-0000D0110000}"/>
    <cellStyle name="Accent3 5 3 3 2 2" xfId="4561" xr:uid="{00000000-0005-0000-0000-0000D1110000}"/>
    <cellStyle name="Accent3 5 3 3 3" xfId="4562" xr:uid="{00000000-0005-0000-0000-0000D2110000}"/>
    <cellStyle name="Accent3 5 3 4" xfId="4563" xr:uid="{00000000-0005-0000-0000-0000D3110000}"/>
    <cellStyle name="Accent3 5 4" xfId="4564" xr:uid="{00000000-0005-0000-0000-0000D4110000}"/>
    <cellStyle name="Accent3 5 4 2" xfId="4565" xr:uid="{00000000-0005-0000-0000-0000D5110000}"/>
    <cellStyle name="Accent3 5 5" xfId="4566" xr:uid="{00000000-0005-0000-0000-0000D6110000}"/>
    <cellStyle name="Accent3 5 5 2" xfId="4567" xr:uid="{00000000-0005-0000-0000-0000D7110000}"/>
    <cellStyle name="Accent3 5 5 2 2" xfId="4568" xr:uid="{00000000-0005-0000-0000-0000D8110000}"/>
    <cellStyle name="Accent3 5 5 3" xfId="4569" xr:uid="{00000000-0005-0000-0000-0000D9110000}"/>
    <cellStyle name="Accent3 5 6" xfId="4570" xr:uid="{00000000-0005-0000-0000-0000DA110000}"/>
    <cellStyle name="Accent3 5 6 2" xfId="4571" xr:uid="{00000000-0005-0000-0000-0000DB110000}"/>
    <cellStyle name="Accent3 5 7" xfId="4572" xr:uid="{00000000-0005-0000-0000-0000DC110000}"/>
    <cellStyle name="Accent3 50" xfId="4573" xr:uid="{00000000-0005-0000-0000-0000DD110000}"/>
    <cellStyle name="Accent3 50 2" xfId="4574" xr:uid="{00000000-0005-0000-0000-0000DE110000}"/>
    <cellStyle name="Accent3 50 2 2" xfId="4575" xr:uid="{00000000-0005-0000-0000-0000DF110000}"/>
    <cellStyle name="Accent3 50 3" xfId="4576" xr:uid="{00000000-0005-0000-0000-0000E0110000}"/>
    <cellStyle name="Accent3 50 3 2" xfId="4577" xr:uid="{00000000-0005-0000-0000-0000E1110000}"/>
    <cellStyle name="Accent3 50 3 2 2" xfId="4578" xr:uid="{00000000-0005-0000-0000-0000E2110000}"/>
    <cellStyle name="Accent3 50 3 3" xfId="4579" xr:uid="{00000000-0005-0000-0000-0000E3110000}"/>
    <cellStyle name="Accent3 50 4" xfId="4580" xr:uid="{00000000-0005-0000-0000-0000E4110000}"/>
    <cellStyle name="Accent3 51" xfId="4581" xr:uid="{00000000-0005-0000-0000-0000E5110000}"/>
    <cellStyle name="Accent3 51 2" xfId="4582" xr:uid="{00000000-0005-0000-0000-0000E6110000}"/>
    <cellStyle name="Accent3 51 2 2" xfId="4583" xr:uid="{00000000-0005-0000-0000-0000E7110000}"/>
    <cellStyle name="Accent3 51 3" xfId="4584" xr:uid="{00000000-0005-0000-0000-0000E8110000}"/>
    <cellStyle name="Accent3 51 3 2" xfId="4585" xr:uid="{00000000-0005-0000-0000-0000E9110000}"/>
    <cellStyle name="Accent3 51 3 2 2" xfId="4586" xr:uid="{00000000-0005-0000-0000-0000EA110000}"/>
    <cellStyle name="Accent3 51 3 3" xfId="4587" xr:uid="{00000000-0005-0000-0000-0000EB110000}"/>
    <cellStyle name="Accent3 51 4" xfId="4588" xr:uid="{00000000-0005-0000-0000-0000EC110000}"/>
    <cellStyle name="Accent3 52" xfId="4589" xr:uid="{00000000-0005-0000-0000-0000ED110000}"/>
    <cellStyle name="Accent3 52 2" xfId="4590" xr:uid="{00000000-0005-0000-0000-0000EE110000}"/>
    <cellStyle name="Accent3 52 2 2" xfId="4591" xr:uid="{00000000-0005-0000-0000-0000EF110000}"/>
    <cellStyle name="Accent3 52 3" xfId="4592" xr:uid="{00000000-0005-0000-0000-0000F0110000}"/>
    <cellStyle name="Accent3 53" xfId="4593" xr:uid="{00000000-0005-0000-0000-0000F1110000}"/>
    <cellStyle name="Accent3 53 2" xfId="4594" xr:uid="{00000000-0005-0000-0000-0000F2110000}"/>
    <cellStyle name="Accent3 53 2 2" xfId="4595" xr:uid="{00000000-0005-0000-0000-0000F3110000}"/>
    <cellStyle name="Accent3 53 3" xfId="4596" xr:uid="{00000000-0005-0000-0000-0000F4110000}"/>
    <cellStyle name="Accent3 54" xfId="4597" xr:uid="{00000000-0005-0000-0000-0000F5110000}"/>
    <cellStyle name="Accent3 54 2" xfId="4598" xr:uid="{00000000-0005-0000-0000-0000F6110000}"/>
    <cellStyle name="Accent3 54 2 2" xfId="4599" xr:uid="{00000000-0005-0000-0000-0000F7110000}"/>
    <cellStyle name="Accent3 54 3" xfId="4600" xr:uid="{00000000-0005-0000-0000-0000F8110000}"/>
    <cellStyle name="Accent3 55" xfId="4601" xr:uid="{00000000-0005-0000-0000-0000F9110000}"/>
    <cellStyle name="Accent3 55 2" xfId="4602" xr:uid="{00000000-0005-0000-0000-0000FA110000}"/>
    <cellStyle name="Accent3 55 2 2" xfId="4603" xr:uid="{00000000-0005-0000-0000-0000FB110000}"/>
    <cellStyle name="Accent3 55 3" xfId="4604" xr:uid="{00000000-0005-0000-0000-0000FC110000}"/>
    <cellStyle name="Accent3 56" xfId="4605" xr:uid="{00000000-0005-0000-0000-0000FD110000}"/>
    <cellStyle name="Accent3 56 2" xfId="4606" xr:uid="{00000000-0005-0000-0000-0000FE110000}"/>
    <cellStyle name="Accent3 56 2 2" xfId="4607" xr:uid="{00000000-0005-0000-0000-0000FF110000}"/>
    <cellStyle name="Accent3 56 3" xfId="4608" xr:uid="{00000000-0005-0000-0000-000000120000}"/>
    <cellStyle name="Accent3 57" xfId="4609" xr:uid="{00000000-0005-0000-0000-000001120000}"/>
    <cellStyle name="Accent3 57 2" xfId="4610" xr:uid="{00000000-0005-0000-0000-000002120000}"/>
    <cellStyle name="Accent3 57 2 2" xfId="4611" xr:uid="{00000000-0005-0000-0000-000003120000}"/>
    <cellStyle name="Accent3 57 3" xfId="4612" xr:uid="{00000000-0005-0000-0000-000004120000}"/>
    <cellStyle name="Accent3 58" xfId="4613" xr:uid="{00000000-0005-0000-0000-000005120000}"/>
    <cellStyle name="Accent3 58 2" xfId="4614" xr:uid="{00000000-0005-0000-0000-000006120000}"/>
    <cellStyle name="Accent3 58 2 2" xfId="4615" xr:uid="{00000000-0005-0000-0000-000007120000}"/>
    <cellStyle name="Accent3 58 3" xfId="4616" xr:uid="{00000000-0005-0000-0000-000008120000}"/>
    <cellStyle name="Accent3 58 3 2" xfId="4617" xr:uid="{00000000-0005-0000-0000-000009120000}"/>
    <cellStyle name="Accent3 58 3 2 2" xfId="4618" xr:uid="{00000000-0005-0000-0000-00000A120000}"/>
    <cellStyle name="Accent3 58 3 3" xfId="4619" xr:uid="{00000000-0005-0000-0000-00000B120000}"/>
    <cellStyle name="Accent3 58 4" xfId="4620" xr:uid="{00000000-0005-0000-0000-00000C120000}"/>
    <cellStyle name="Accent3 59" xfId="4621" xr:uid="{00000000-0005-0000-0000-00000D120000}"/>
    <cellStyle name="Accent3 59 2" xfId="4622" xr:uid="{00000000-0005-0000-0000-00000E120000}"/>
    <cellStyle name="Accent3 59 2 2" xfId="4623" xr:uid="{00000000-0005-0000-0000-00000F120000}"/>
    <cellStyle name="Accent3 59 3" xfId="4624" xr:uid="{00000000-0005-0000-0000-000010120000}"/>
    <cellStyle name="Accent3 59 3 2" xfId="4625" xr:uid="{00000000-0005-0000-0000-000011120000}"/>
    <cellStyle name="Accent3 59 3 2 2" xfId="4626" xr:uid="{00000000-0005-0000-0000-000012120000}"/>
    <cellStyle name="Accent3 59 3 3" xfId="4627" xr:uid="{00000000-0005-0000-0000-000013120000}"/>
    <cellStyle name="Accent3 59 4" xfId="4628" xr:uid="{00000000-0005-0000-0000-000014120000}"/>
    <cellStyle name="Accent3 6" xfId="4629" xr:uid="{00000000-0005-0000-0000-000015120000}"/>
    <cellStyle name="Accent3 6 2" xfId="4630" xr:uid="{00000000-0005-0000-0000-000016120000}"/>
    <cellStyle name="Accent3 6 2 2" xfId="4631" xr:uid="{00000000-0005-0000-0000-000017120000}"/>
    <cellStyle name="Accent3 6 2 2 2" xfId="4632" xr:uid="{00000000-0005-0000-0000-000018120000}"/>
    <cellStyle name="Accent3 6 2 3" xfId="4633" xr:uid="{00000000-0005-0000-0000-000019120000}"/>
    <cellStyle name="Accent3 6 2 3 2" xfId="4634" xr:uid="{00000000-0005-0000-0000-00001A120000}"/>
    <cellStyle name="Accent3 6 2 3 2 2" xfId="4635" xr:uid="{00000000-0005-0000-0000-00001B120000}"/>
    <cellStyle name="Accent3 6 2 3 3" xfId="4636" xr:uid="{00000000-0005-0000-0000-00001C120000}"/>
    <cellStyle name="Accent3 6 2 4" xfId="4637" xr:uid="{00000000-0005-0000-0000-00001D120000}"/>
    <cellStyle name="Accent3 6 3" xfId="4638" xr:uid="{00000000-0005-0000-0000-00001E120000}"/>
    <cellStyle name="Accent3 6 3 2" xfId="4639" xr:uid="{00000000-0005-0000-0000-00001F120000}"/>
    <cellStyle name="Accent3 6 4" xfId="4640" xr:uid="{00000000-0005-0000-0000-000020120000}"/>
    <cellStyle name="Accent3 6 4 2" xfId="4641" xr:uid="{00000000-0005-0000-0000-000021120000}"/>
    <cellStyle name="Accent3 6 4 2 2" xfId="4642" xr:uid="{00000000-0005-0000-0000-000022120000}"/>
    <cellStyle name="Accent3 6 4 3" xfId="4643" xr:uid="{00000000-0005-0000-0000-000023120000}"/>
    <cellStyle name="Accent3 6 5" xfId="4644" xr:uid="{00000000-0005-0000-0000-000024120000}"/>
    <cellStyle name="Accent3 60" xfId="4645" xr:uid="{00000000-0005-0000-0000-000025120000}"/>
    <cellStyle name="Accent3 60 2" xfId="4646" xr:uid="{00000000-0005-0000-0000-000026120000}"/>
    <cellStyle name="Accent3 60 2 2" xfId="4647" xr:uid="{00000000-0005-0000-0000-000027120000}"/>
    <cellStyle name="Accent3 60 3" xfId="4648" xr:uid="{00000000-0005-0000-0000-000028120000}"/>
    <cellStyle name="Accent3 60 3 2" xfId="4649" xr:uid="{00000000-0005-0000-0000-000029120000}"/>
    <cellStyle name="Accent3 60 3 2 2" xfId="4650" xr:uid="{00000000-0005-0000-0000-00002A120000}"/>
    <cellStyle name="Accent3 60 3 3" xfId="4651" xr:uid="{00000000-0005-0000-0000-00002B120000}"/>
    <cellStyle name="Accent3 60 4" xfId="4652" xr:uid="{00000000-0005-0000-0000-00002C120000}"/>
    <cellStyle name="Accent3 61" xfId="4653" xr:uid="{00000000-0005-0000-0000-00002D120000}"/>
    <cellStyle name="Accent3 61 2" xfId="4654" xr:uid="{00000000-0005-0000-0000-00002E120000}"/>
    <cellStyle name="Accent3 61 2 2" xfId="4655" xr:uid="{00000000-0005-0000-0000-00002F120000}"/>
    <cellStyle name="Accent3 61 3" xfId="4656" xr:uid="{00000000-0005-0000-0000-000030120000}"/>
    <cellStyle name="Accent3 61 3 2" xfId="4657" xr:uid="{00000000-0005-0000-0000-000031120000}"/>
    <cellStyle name="Accent3 61 3 2 2" xfId="4658" xr:uid="{00000000-0005-0000-0000-000032120000}"/>
    <cellStyle name="Accent3 61 3 3" xfId="4659" xr:uid="{00000000-0005-0000-0000-000033120000}"/>
    <cellStyle name="Accent3 61 4" xfId="4660" xr:uid="{00000000-0005-0000-0000-000034120000}"/>
    <cellStyle name="Accent3 62" xfId="4661" xr:uid="{00000000-0005-0000-0000-000035120000}"/>
    <cellStyle name="Accent3 62 2" xfId="4662" xr:uid="{00000000-0005-0000-0000-000036120000}"/>
    <cellStyle name="Accent3 62 2 2" xfId="4663" xr:uid="{00000000-0005-0000-0000-000037120000}"/>
    <cellStyle name="Accent3 62 3" xfId="4664" xr:uid="{00000000-0005-0000-0000-000038120000}"/>
    <cellStyle name="Accent3 62 3 2" xfId="4665" xr:uid="{00000000-0005-0000-0000-000039120000}"/>
    <cellStyle name="Accent3 62 3 2 2" xfId="4666" xr:uid="{00000000-0005-0000-0000-00003A120000}"/>
    <cellStyle name="Accent3 62 3 3" xfId="4667" xr:uid="{00000000-0005-0000-0000-00003B120000}"/>
    <cellStyle name="Accent3 62 4" xfId="4668" xr:uid="{00000000-0005-0000-0000-00003C120000}"/>
    <cellStyle name="Accent3 63" xfId="4669" xr:uid="{00000000-0005-0000-0000-00003D120000}"/>
    <cellStyle name="Accent3 63 2" xfId="4670" xr:uid="{00000000-0005-0000-0000-00003E120000}"/>
    <cellStyle name="Accent3 63 2 2" xfId="4671" xr:uid="{00000000-0005-0000-0000-00003F120000}"/>
    <cellStyle name="Accent3 63 3" xfId="4672" xr:uid="{00000000-0005-0000-0000-000040120000}"/>
    <cellStyle name="Accent3 63 3 2" xfId="4673" xr:uid="{00000000-0005-0000-0000-000041120000}"/>
    <cellStyle name="Accent3 63 3 2 2" xfId="4674" xr:uid="{00000000-0005-0000-0000-000042120000}"/>
    <cellStyle name="Accent3 63 3 3" xfId="4675" xr:uid="{00000000-0005-0000-0000-000043120000}"/>
    <cellStyle name="Accent3 63 4" xfId="4676" xr:uid="{00000000-0005-0000-0000-000044120000}"/>
    <cellStyle name="Accent3 64" xfId="4677" xr:uid="{00000000-0005-0000-0000-000045120000}"/>
    <cellStyle name="Accent3 64 2" xfId="4678" xr:uid="{00000000-0005-0000-0000-000046120000}"/>
    <cellStyle name="Accent3 64 2 2" xfId="4679" xr:uid="{00000000-0005-0000-0000-000047120000}"/>
    <cellStyle name="Accent3 64 3" xfId="4680" xr:uid="{00000000-0005-0000-0000-000048120000}"/>
    <cellStyle name="Accent3 64 3 2" xfId="4681" xr:uid="{00000000-0005-0000-0000-000049120000}"/>
    <cellStyle name="Accent3 64 3 2 2" xfId="4682" xr:uid="{00000000-0005-0000-0000-00004A120000}"/>
    <cellStyle name="Accent3 64 3 3" xfId="4683" xr:uid="{00000000-0005-0000-0000-00004B120000}"/>
    <cellStyle name="Accent3 64 4" xfId="4684" xr:uid="{00000000-0005-0000-0000-00004C120000}"/>
    <cellStyle name="Accent3 65" xfId="4685" xr:uid="{00000000-0005-0000-0000-00004D120000}"/>
    <cellStyle name="Accent3 65 2" xfId="4686" xr:uid="{00000000-0005-0000-0000-00004E120000}"/>
    <cellStyle name="Accent3 65 2 2" xfId="4687" xr:uid="{00000000-0005-0000-0000-00004F120000}"/>
    <cellStyle name="Accent3 65 3" xfId="4688" xr:uid="{00000000-0005-0000-0000-000050120000}"/>
    <cellStyle name="Accent3 65 3 2" xfId="4689" xr:uid="{00000000-0005-0000-0000-000051120000}"/>
    <cellStyle name="Accent3 65 3 2 2" xfId="4690" xr:uid="{00000000-0005-0000-0000-000052120000}"/>
    <cellStyle name="Accent3 65 3 3" xfId="4691" xr:uid="{00000000-0005-0000-0000-000053120000}"/>
    <cellStyle name="Accent3 65 4" xfId="4692" xr:uid="{00000000-0005-0000-0000-000054120000}"/>
    <cellStyle name="Accent3 66" xfId="4693" xr:uid="{00000000-0005-0000-0000-000055120000}"/>
    <cellStyle name="Accent3 66 2" xfId="4694" xr:uid="{00000000-0005-0000-0000-000056120000}"/>
    <cellStyle name="Accent3 66 2 2" xfId="4695" xr:uid="{00000000-0005-0000-0000-000057120000}"/>
    <cellStyle name="Accent3 66 3" xfId="4696" xr:uid="{00000000-0005-0000-0000-000058120000}"/>
    <cellStyle name="Accent3 66 3 2" xfId="4697" xr:uid="{00000000-0005-0000-0000-000059120000}"/>
    <cellStyle name="Accent3 66 3 2 2" xfId="4698" xr:uid="{00000000-0005-0000-0000-00005A120000}"/>
    <cellStyle name="Accent3 66 3 3" xfId="4699" xr:uid="{00000000-0005-0000-0000-00005B120000}"/>
    <cellStyle name="Accent3 66 4" xfId="4700" xr:uid="{00000000-0005-0000-0000-00005C120000}"/>
    <cellStyle name="Accent3 67" xfId="4701" xr:uid="{00000000-0005-0000-0000-00005D120000}"/>
    <cellStyle name="Accent3 67 2" xfId="4702" xr:uid="{00000000-0005-0000-0000-00005E120000}"/>
    <cellStyle name="Accent3 67 2 2" xfId="4703" xr:uid="{00000000-0005-0000-0000-00005F120000}"/>
    <cellStyle name="Accent3 67 3" xfId="4704" xr:uid="{00000000-0005-0000-0000-000060120000}"/>
    <cellStyle name="Accent3 67 3 2" xfId="4705" xr:uid="{00000000-0005-0000-0000-000061120000}"/>
    <cellStyle name="Accent3 67 3 2 2" xfId="4706" xr:uid="{00000000-0005-0000-0000-000062120000}"/>
    <cellStyle name="Accent3 67 3 3" xfId="4707" xr:uid="{00000000-0005-0000-0000-000063120000}"/>
    <cellStyle name="Accent3 67 4" xfId="4708" xr:uid="{00000000-0005-0000-0000-000064120000}"/>
    <cellStyle name="Accent3 68" xfId="4709" xr:uid="{00000000-0005-0000-0000-000065120000}"/>
    <cellStyle name="Accent3 68 2" xfId="4710" xr:uid="{00000000-0005-0000-0000-000066120000}"/>
    <cellStyle name="Accent3 68 2 2" xfId="4711" xr:uid="{00000000-0005-0000-0000-000067120000}"/>
    <cellStyle name="Accent3 68 3" xfId="4712" xr:uid="{00000000-0005-0000-0000-000068120000}"/>
    <cellStyle name="Accent3 68 3 2" xfId="4713" xr:uid="{00000000-0005-0000-0000-000069120000}"/>
    <cellStyle name="Accent3 68 3 2 2" xfId="4714" xr:uid="{00000000-0005-0000-0000-00006A120000}"/>
    <cellStyle name="Accent3 68 3 3" xfId="4715" xr:uid="{00000000-0005-0000-0000-00006B120000}"/>
    <cellStyle name="Accent3 68 4" xfId="4716" xr:uid="{00000000-0005-0000-0000-00006C120000}"/>
    <cellStyle name="Accent3 69" xfId="4717" xr:uid="{00000000-0005-0000-0000-00006D120000}"/>
    <cellStyle name="Accent3 69 2" xfId="4718" xr:uid="{00000000-0005-0000-0000-00006E120000}"/>
    <cellStyle name="Accent3 69 2 2" xfId="4719" xr:uid="{00000000-0005-0000-0000-00006F120000}"/>
    <cellStyle name="Accent3 69 3" xfId="4720" xr:uid="{00000000-0005-0000-0000-000070120000}"/>
    <cellStyle name="Accent3 69 3 2" xfId="4721" xr:uid="{00000000-0005-0000-0000-000071120000}"/>
    <cellStyle name="Accent3 69 3 2 2" xfId="4722" xr:uid="{00000000-0005-0000-0000-000072120000}"/>
    <cellStyle name="Accent3 69 3 3" xfId="4723" xr:uid="{00000000-0005-0000-0000-000073120000}"/>
    <cellStyle name="Accent3 69 4" xfId="4724" xr:uid="{00000000-0005-0000-0000-000074120000}"/>
    <cellStyle name="Accent3 7" xfId="4725" xr:uid="{00000000-0005-0000-0000-000075120000}"/>
    <cellStyle name="Accent3 7 2" xfId="4726" xr:uid="{00000000-0005-0000-0000-000076120000}"/>
    <cellStyle name="Accent3 7 2 2" xfId="4727" xr:uid="{00000000-0005-0000-0000-000077120000}"/>
    <cellStyle name="Accent3 7 2 2 2" xfId="4728" xr:uid="{00000000-0005-0000-0000-000078120000}"/>
    <cellStyle name="Accent3 7 2 3" xfId="4729" xr:uid="{00000000-0005-0000-0000-000079120000}"/>
    <cellStyle name="Accent3 7 2 3 2" xfId="4730" xr:uid="{00000000-0005-0000-0000-00007A120000}"/>
    <cellStyle name="Accent3 7 2 3 2 2" xfId="4731" xr:uid="{00000000-0005-0000-0000-00007B120000}"/>
    <cellStyle name="Accent3 7 2 3 3" xfId="4732" xr:uid="{00000000-0005-0000-0000-00007C120000}"/>
    <cellStyle name="Accent3 7 2 4" xfId="4733" xr:uid="{00000000-0005-0000-0000-00007D120000}"/>
    <cellStyle name="Accent3 7 3" xfId="4734" xr:uid="{00000000-0005-0000-0000-00007E120000}"/>
    <cellStyle name="Accent3 7 3 2" xfId="4735" xr:uid="{00000000-0005-0000-0000-00007F120000}"/>
    <cellStyle name="Accent3 7 4" xfId="4736" xr:uid="{00000000-0005-0000-0000-000080120000}"/>
    <cellStyle name="Accent3 7 4 2" xfId="4737" xr:uid="{00000000-0005-0000-0000-000081120000}"/>
    <cellStyle name="Accent3 7 4 2 2" xfId="4738" xr:uid="{00000000-0005-0000-0000-000082120000}"/>
    <cellStyle name="Accent3 7 4 3" xfId="4739" xr:uid="{00000000-0005-0000-0000-000083120000}"/>
    <cellStyle name="Accent3 7 5" xfId="4740" xr:uid="{00000000-0005-0000-0000-000084120000}"/>
    <cellStyle name="Accent3 70" xfId="4741" xr:uid="{00000000-0005-0000-0000-000085120000}"/>
    <cellStyle name="Accent3 70 2" xfId="4742" xr:uid="{00000000-0005-0000-0000-000086120000}"/>
    <cellStyle name="Accent3 70 2 2" xfId="4743" xr:uid="{00000000-0005-0000-0000-000087120000}"/>
    <cellStyle name="Accent3 70 3" xfId="4744" xr:uid="{00000000-0005-0000-0000-000088120000}"/>
    <cellStyle name="Accent3 70 3 2" xfId="4745" xr:uid="{00000000-0005-0000-0000-000089120000}"/>
    <cellStyle name="Accent3 70 3 2 2" xfId="4746" xr:uid="{00000000-0005-0000-0000-00008A120000}"/>
    <cellStyle name="Accent3 70 3 3" xfId="4747" xr:uid="{00000000-0005-0000-0000-00008B120000}"/>
    <cellStyle name="Accent3 70 4" xfId="4748" xr:uid="{00000000-0005-0000-0000-00008C120000}"/>
    <cellStyle name="Accent3 71" xfId="4749" xr:uid="{00000000-0005-0000-0000-00008D120000}"/>
    <cellStyle name="Accent3 71 2" xfId="4750" xr:uid="{00000000-0005-0000-0000-00008E120000}"/>
    <cellStyle name="Accent3 71 2 2" xfId="4751" xr:uid="{00000000-0005-0000-0000-00008F120000}"/>
    <cellStyle name="Accent3 71 3" xfId="4752" xr:uid="{00000000-0005-0000-0000-000090120000}"/>
    <cellStyle name="Accent3 71 3 2" xfId="4753" xr:uid="{00000000-0005-0000-0000-000091120000}"/>
    <cellStyle name="Accent3 71 3 2 2" xfId="4754" xr:uid="{00000000-0005-0000-0000-000092120000}"/>
    <cellStyle name="Accent3 71 3 3" xfId="4755" xr:uid="{00000000-0005-0000-0000-000093120000}"/>
    <cellStyle name="Accent3 71 4" xfId="4756" xr:uid="{00000000-0005-0000-0000-000094120000}"/>
    <cellStyle name="Accent3 72" xfId="4757" xr:uid="{00000000-0005-0000-0000-000095120000}"/>
    <cellStyle name="Accent3 72 2" xfId="4758" xr:uid="{00000000-0005-0000-0000-000096120000}"/>
    <cellStyle name="Accent3 72 2 2" xfId="4759" xr:uid="{00000000-0005-0000-0000-000097120000}"/>
    <cellStyle name="Accent3 72 3" xfId="4760" xr:uid="{00000000-0005-0000-0000-000098120000}"/>
    <cellStyle name="Accent3 72 3 2" xfId="4761" xr:uid="{00000000-0005-0000-0000-000099120000}"/>
    <cellStyle name="Accent3 72 3 2 2" xfId="4762" xr:uid="{00000000-0005-0000-0000-00009A120000}"/>
    <cellStyle name="Accent3 72 3 3" xfId="4763" xr:uid="{00000000-0005-0000-0000-00009B120000}"/>
    <cellStyle name="Accent3 72 4" xfId="4764" xr:uid="{00000000-0005-0000-0000-00009C120000}"/>
    <cellStyle name="Accent3 73" xfId="4765" xr:uid="{00000000-0005-0000-0000-00009D120000}"/>
    <cellStyle name="Accent3 73 2" xfId="4766" xr:uid="{00000000-0005-0000-0000-00009E120000}"/>
    <cellStyle name="Accent3 73 2 2" xfId="4767" xr:uid="{00000000-0005-0000-0000-00009F120000}"/>
    <cellStyle name="Accent3 73 3" xfId="4768" xr:uid="{00000000-0005-0000-0000-0000A0120000}"/>
    <cellStyle name="Accent3 73 3 2" xfId="4769" xr:uid="{00000000-0005-0000-0000-0000A1120000}"/>
    <cellStyle name="Accent3 73 3 2 2" xfId="4770" xr:uid="{00000000-0005-0000-0000-0000A2120000}"/>
    <cellStyle name="Accent3 73 3 3" xfId="4771" xr:uid="{00000000-0005-0000-0000-0000A3120000}"/>
    <cellStyle name="Accent3 73 4" xfId="4772" xr:uid="{00000000-0005-0000-0000-0000A4120000}"/>
    <cellStyle name="Accent3 74" xfId="4773" xr:uid="{00000000-0005-0000-0000-0000A5120000}"/>
    <cellStyle name="Accent3 74 2" xfId="4774" xr:uid="{00000000-0005-0000-0000-0000A6120000}"/>
    <cellStyle name="Accent3 74 2 2" xfId="4775" xr:uid="{00000000-0005-0000-0000-0000A7120000}"/>
    <cellStyle name="Accent3 74 3" xfId="4776" xr:uid="{00000000-0005-0000-0000-0000A8120000}"/>
    <cellStyle name="Accent3 74 3 2" xfId="4777" xr:uid="{00000000-0005-0000-0000-0000A9120000}"/>
    <cellStyle name="Accent3 74 3 2 2" xfId="4778" xr:uid="{00000000-0005-0000-0000-0000AA120000}"/>
    <cellStyle name="Accent3 74 3 3" xfId="4779" xr:uid="{00000000-0005-0000-0000-0000AB120000}"/>
    <cellStyle name="Accent3 74 4" xfId="4780" xr:uid="{00000000-0005-0000-0000-0000AC120000}"/>
    <cellStyle name="Accent3 75" xfId="4781" xr:uid="{00000000-0005-0000-0000-0000AD120000}"/>
    <cellStyle name="Accent3 75 2" xfId="4782" xr:uid="{00000000-0005-0000-0000-0000AE120000}"/>
    <cellStyle name="Accent3 75 2 2" xfId="4783" xr:uid="{00000000-0005-0000-0000-0000AF120000}"/>
    <cellStyle name="Accent3 75 3" xfId="4784" xr:uid="{00000000-0005-0000-0000-0000B0120000}"/>
    <cellStyle name="Accent3 75 3 2" xfId="4785" xr:uid="{00000000-0005-0000-0000-0000B1120000}"/>
    <cellStyle name="Accent3 75 3 2 2" xfId="4786" xr:uid="{00000000-0005-0000-0000-0000B2120000}"/>
    <cellStyle name="Accent3 75 3 3" xfId="4787" xr:uid="{00000000-0005-0000-0000-0000B3120000}"/>
    <cellStyle name="Accent3 75 4" xfId="4788" xr:uid="{00000000-0005-0000-0000-0000B4120000}"/>
    <cellStyle name="Accent3 76" xfId="4789" xr:uid="{00000000-0005-0000-0000-0000B5120000}"/>
    <cellStyle name="Accent3 76 2" xfId="4790" xr:uid="{00000000-0005-0000-0000-0000B6120000}"/>
    <cellStyle name="Accent3 76 2 2" xfId="4791" xr:uid="{00000000-0005-0000-0000-0000B7120000}"/>
    <cellStyle name="Accent3 76 3" xfId="4792" xr:uid="{00000000-0005-0000-0000-0000B8120000}"/>
    <cellStyle name="Accent3 76 3 2" xfId="4793" xr:uid="{00000000-0005-0000-0000-0000B9120000}"/>
    <cellStyle name="Accent3 76 3 2 2" xfId="4794" xr:uid="{00000000-0005-0000-0000-0000BA120000}"/>
    <cellStyle name="Accent3 76 3 3" xfId="4795" xr:uid="{00000000-0005-0000-0000-0000BB120000}"/>
    <cellStyle name="Accent3 76 4" xfId="4796" xr:uid="{00000000-0005-0000-0000-0000BC120000}"/>
    <cellStyle name="Accent3 77" xfId="4797" xr:uid="{00000000-0005-0000-0000-0000BD120000}"/>
    <cellStyle name="Accent3 77 2" xfId="4798" xr:uid="{00000000-0005-0000-0000-0000BE120000}"/>
    <cellStyle name="Accent3 77 2 2" xfId="4799" xr:uid="{00000000-0005-0000-0000-0000BF120000}"/>
    <cellStyle name="Accent3 77 3" xfId="4800" xr:uid="{00000000-0005-0000-0000-0000C0120000}"/>
    <cellStyle name="Accent3 77 3 2" xfId="4801" xr:uid="{00000000-0005-0000-0000-0000C1120000}"/>
    <cellStyle name="Accent3 77 3 2 2" xfId="4802" xr:uid="{00000000-0005-0000-0000-0000C2120000}"/>
    <cellStyle name="Accent3 77 3 3" xfId="4803" xr:uid="{00000000-0005-0000-0000-0000C3120000}"/>
    <cellStyle name="Accent3 77 4" xfId="4804" xr:uid="{00000000-0005-0000-0000-0000C4120000}"/>
    <cellStyle name="Accent3 78" xfId="4805" xr:uid="{00000000-0005-0000-0000-0000C5120000}"/>
    <cellStyle name="Accent3 78 2" xfId="4806" xr:uid="{00000000-0005-0000-0000-0000C6120000}"/>
    <cellStyle name="Accent3 78 2 2" xfId="4807" xr:uid="{00000000-0005-0000-0000-0000C7120000}"/>
    <cellStyle name="Accent3 78 3" xfId="4808" xr:uid="{00000000-0005-0000-0000-0000C8120000}"/>
    <cellStyle name="Accent3 78 3 2" xfId="4809" xr:uid="{00000000-0005-0000-0000-0000C9120000}"/>
    <cellStyle name="Accent3 78 3 2 2" xfId="4810" xr:uid="{00000000-0005-0000-0000-0000CA120000}"/>
    <cellStyle name="Accent3 78 3 3" xfId="4811" xr:uid="{00000000-0005-0000-0000-0000CB120000}"/>
    <cellStyle name="Accent3 78 4" xfId="4812" xr:uid="{00000000-0005-0000-0000-0000CC120000}"/>
    <cellStyle name="Accent3 79" xfId="4813" xr:uid="{00000000-0005-0000-0000-0000CD120000}"/>
    <cellStyle name="Accent3 79 2" xfId="4814" xr:uid="{00000000-0005-0000-0000-0000CE120000}"/>
    <cellStyle name="Accent3 79 2 2" xfId="4815" xr:uid="{00000000-0005-0000-0000-0000CF120000}"/>
    <cellStyle name="Accent3 79 3" xfId="4816" xr:uid="{00000000-0005-0000-0000-0000D0120000}"/>
    <cellStyle name="Accent3 79 3 2" xfId="4817" xr:uid="{00000000-0005-0000-0000-0000D1120000}"/>
    <cellStyle name="Accent3 79 3 2 2" xfId="4818" xr:uid="{00000000-0005-0000-0000-0000D2120000}"/>
    <cellStyle name="Accent3 79 3 3" xfId="4819" xr:uid="{00000000-0005-0000-0000-0000D3120000}"/>
    <cellStyle name="Accent3 79 4" xfId="4820" xr:uid="{00000000-0005-0000-0000-0000D4120000}"/>
    <cellStyle name="Accent3 8" xfId="4821" xr:uid="{00000000-0005-0000-0000-0000D5120000}"/>
    <cellStyle name="Accent3 8 2" xfId="4822" xr:uid="{00000000-0005-0000-0000-0000D6120000}"/>
    <cellStyle name="Accent3 8 2 2" xfId="4823" xr:uid="{00000000-0005-0000-0000-0000D7120000}"/>
    <cellStyle name="Accent3 8 3" xfId="4824" xr:uid="{00000000-0005-0000-0000-0000D8120000}"/>
    <cellStyle name="Accent3 80" xfId="4825" xr:uid="{00000000-0005-0000-0000-0000D9120000}"/>
    <cellStyle name="Accent3 80 2" xfId="4826" xr:uid="{00000000-0005-0000-0000-0000DA120000}"/>
    <cellStyle name="Accent3 80 2 2" xfId="4827" xr:uid="{00000000-0005-0000-0000-0000DB120000}"/>
    <cellStyle name="Accent3 80 3" xfId="4828" xr:uid="{00000000-0005-0000-0000-0000DC120000}"/>
    <cellStyle name="Accent3 80 3 2" xfId="4829" xr:uid="{00000000-0005-0000-0000-0000DD120000}"/>
    <cellStyle name="Accent3 80 3 2 2" xfId="4830" xr:uid="{00000000-0005-0000-0000-0000DE120000}"/>
    <cellStyle name="Accent3 80 3 3" xfId="4831" xr:uid="{00000000-0005-0000-0000-0000DF120000}"/>
    <cellStyle name="Accent3 80 4" xfId="4832" xr:uid="{00000000-0005-0000-0000-0000E0120000}"/>
    <cellStyle name="Accent3 81" xfId="4833" xr:uid="{00000000-0005-0000-0000-0000E1120000}"/>
    <cellStyle name="Accent3 81 2" xfId="4834" xr:uid="{00000000-0005-0000-0000-0000E2120000}"/>
    <cellStyle name="Accent3 81 2 2" xfId="4835" xr:uid="{00000000-0005-0000-0000-0000E3120000}"/>
    <cellStyle name="Accent3 81 3" xfId="4836" xr:uid="{00000000-0005-0000-0000-0000E4120000}"/>
    <cellStyle name="Accent3 81 3 2" xfId="4837" xr:uid="{00000000-0005-0000-0000-0000E5120000}"/>
    <cellStyle name="Accent3 81 3 2 2" xfId="4838" xr:uid="{00000000-0005-0000-0000-0000E6120000}"/>
    <cellStyle name="Accent3 81 3 3" xfId="4839" xr:uid="{00000000-0005-0000-0000-0000E7120000}"/>
    <cellStyle name="Accent3 81 4" xfId="4840" xr:uid="{00000000-0005-0000-0000-0000E8120000}"/>
    <cellStyle name="Accent3 82" xfId="4841" xr:uid="{00000000-0005-0000-0000-0000E9120000}"/>
    <cellStyle name="Accent3 82 2" xfId="4842" xr:uid="{00000000-0005-0000-0000-0000EA120000}"/>
    <cellStyle name="Accent3 82 2 2" xfId="4843" xr:uid="{00000000-0005-0000-0000-0000EB120000}"/>
    <cellStyle name="Accent3 82 3" xfId="4844" xr:uid="{00000000-0005-0000-0000-0000EC120000}"/>
    <cellStyle name="Accent3 82 3 2" xfId="4845" xr:uid="{00000000-0005-0000-0000-0000ED120000}"/>
    <cellStyle name="Accent3 82 3 2 2" xfId="4846" xr:uid="{00000000-0005-0000-0000-0000EE120000}"/>
    <cellStyle name="Accent3 82 3 3" xfId="4847" xr:uid="{00000000-0005-0000-0000-0000EF120000}"/>
    <cellStyle name="Accent3 82 4" xfId="4848" xr:uid="{00000000-0005-0000-0000-0000F0120000}"/>
    <cellStyle name="Accent3 83" xfId="4849" xr:uid="{00000000-0005-0000-0000-0000F1120000}"/>
    <cellStyle name="Accent3 83 2" xfId="4850" xr:uid="{00000000-0005-0000-0000-0000F2120000}"/>
    <cellStyle name="Accent3 83 2 2" xfId="4851" xr:uid="{00000000-0005-0000-0000-0000F3120000}"/>
    <cellStyle name="Accent3 83 3" xfId="4852" xr:uid="{00000000-0005-0000-0000-0000F4120000}"/>
    <cellStyle name="Accent3 83 3 2" xfId="4853" xr:uid="{00000000-0005-0000-0000-0000F5120000}"/>
    <cellStyle name="Accent3 83 3 2 2" xfId="4854" xr:uid="{00000000-0005-0000-0000-0000F6120000}"/>
    <cellStyle name="Accent3 83 3 3" xfId="4855" xr:uid="{00000000-0005-0000-0000-0000F7120000}"/>
    <cellStyle name="Accent3 83 4" xfId="4856" xr:uid="{00000000-0005-0000-0000-0000F8120000}"/>
    <cellStyle name="Accent3 84" xfId="4857" xr:uid="{00000000-0005-0000-0000-0000F9120000}"/>
    <cellStyle name="Accent3 84 2" xfId="4858" xr:uid="{00000000-0005-0000-0000-0000FA120000}"/>
    <cellStyle name="Accent3 84 2 2" xfId="4859" xr:uid="{00000000-0005-0000-0000-0000FB120000}"/>
    <cellStyle name="Accent3 84 3" xfId="4860" xr:uid="{00000000-0005-0000-0000-0000FC120000}"/>
    <cellStyle name="Accent3 85" xfId="4861" xr:uid="{00000000-0005-0000-0000-0000FD120000}"/>
    <cellStyle name="Accent3 85 2" xfId="4862" xr:uid="{00000000-0005-0000-0000-0000FE120000}"/>
    <cellStyle name="Accent3 85 2 2" xfId="4863" xr:uid="{00000000-0005-0000-0000-0000FF120000}"/>
    <cellStyle name="Accent3 85 3" xfId="4864" xr:uid="{00000000-0005-0000-0000-000000130000}"/>
    <cellStyle name="Accent3 86" xfId="4865" xr:uid="{00000000-0005-0000-0000-000001130000}"/>
    <cellStyle name="Accent3 86 2" xfId="4866" xr:uid="{00000000-0005-0000-0000-000002130000}"/>
    <cellStyle name="Accent3 86 2 2" xfId="4867" xr:uid="{00000000-0005-0000-0000-000003130000}"/>
    <cellStyle name="Accent3 86 3" xfId="4868" xr:uid="{00000000-0005-0000-0000-000004130000}"/>
    <cellStyle name="Accent3 87" xfId="4869" xr:uid="{00000000-0005-0000-0000-000005130000}"/>
    <cellStyle name="Accent3 87 2" xfId="4870" xr:uid="{00000000-0005-0000-0000-000006130000}"/>
    <cellStyle name="Accent3 87 2 2" xfId="4871" xr:uid="{00000000-0005-0000-0000-000007130000}"/>
    <cellStyle name="Accent3 87 3" xfId="4872" xr:uid="{00000000-0005-0000-0000-000008130000}"/>
    <cellStyle name="Accent3 88" xfId="4873" xr:uid="{00000000-0005-0000-0000-000009130000}"/>
    <cellStyle name="Accent3 88 2" xfId="4874" xr:uid="{00000000-0005-0000-0000-00000A130000}"/>
    <cellStyle name="Accent3 88 2 2" xfId="4875" xr:uid="{00000000-0005-0000-0000-00000B130000}"/>
    <cellStyle name="Accent3 88 3" xfId="4876" xr:uid="{00000000-0005-0000-0000-00000C130000}"/>
    <cellStyle name="Accent3 89" xfId="4877" xr:uid="{00000000-0005-0000-0000-00000D130000}"/>
    <cellStyle name="Accent3 89 2" xfId="4878" xr:uid="{00000000-0005-0000-0000-00000E130000}"/>
    <cellStyle name="Accent3 89 2 2" xfId="4879" xr:uid="{00000000-0005-0000-0000-00000F130000}"/>
    <cellStyle name="Accent3 89 3" xfId="4880" xr:uid="{00000000-0005-0000-0000-000010130000}"/>
    <cellStyle name="Accent3 9" xfId="4881" xr:uid="{00000000-0005-0000-0000-000011130000}"/>
    <cellStyle name="Accent3 9 2" xfId="4882" xr:uid="{00000000-0005-0000-0000-000012130000}"/>
    <cellStyle name="Accent3 9 2 2" xfId="4883" xr:uid="{00000000-0005-0000-0000-000013130000}"/>
    <cellStyle name="Accent3 9 3" xfId="4884" xr:uid="{00000000-0005-0000-0000-000014130000}"/>
    <cellStyle name="Accent3 90" xfId="4885" xr:uid="{00000000-0005-0000-0000-000015130000}"/>
    <cellStyle name="Accent3 90 2" xfId="4886" xr:uid="{00000000-0005-0000-0000-000016130000}"/>
    <cellStyle name="Accent3 90 2 2" xfId="4887" xr:uid="{00000000-0005-0000-0000-000017130000}"/>
    <cellStyle name="Accent3 90 3" xfId="4888" xr:uid="{00000000-0005-0000-0000-000018130000}"/>
    <cellStyle name="Accent3 91" xfId="4889" xr:uid="{00000000-0005-0000-0000-000019130000}"/>
    <cellStyle name="Accent3 91 2" xfId="4890" xr:uid="{00000000-0005-0000-0000-00001A130000}"/>
    <cellStyle name="Accent3 91 2 2" xfId="4891" xr:uid="{00000000-0005-0000-0000-00001B130000}"/>
    <cellStyle name="Accent3 91 3" xfId="4892" xr:uid="{00000000-0005-0000-0000-00001C130000}"/>
    <cellStyle name="Accent3 92" xfId="4893" xr:uid="{00000000-0005-0000-0000-00001D130000}"/>
    <cellStyle name="Accent3 92 2" xfId="4894" xr:uid="{00000000-0005-0000-0000-00001E130000}"/>
    <cellStyle name="Accent3 92 2 2" xfId="4895" xr:uid="{00000000-0005-0000-0000-00001F130000}"/>
    <cellStyle name="Accent3 92 3" xfId="4896" xr:uid="{00000000-0005-0000-0000-000020130000}"/>
    <cellStyle name="Accent3 93" xfId="4897" xr:uid="{00000000-0005-0000-0000-000021130000}"/>
    <cellStyle name="Accent3 93 2" xfId="4898" xr:uid="{00000000-0005-0000-0000-000022130000}"/>
    <cellStyle name="Accent3 93 2 2" xfId="4899" xr:uid="{00000000-0005-0000-0000-000023130000}"/>
    <cellStyle name="Accent3 93 3" xfId="4900" xr:uid="{00000000-0005-0000-0000-000024130000}"/>
    <cellStyle name="Accent3 94" xfId="4901" xr:uid="{00000000-0005-0000-0000-000025130000}"/>
    <cellStyle name="Accent3 94 2" xfId="4902" xr:uid="{00000000-0005-0000-0000-000026130000}"/>
    <cellStyle name="Accent3 94 2 2" xfId="4903" xr:uid="{00000000-0005-0000-0000-000027130000}"/>
    <cellStyle name="Accent3 94 3" xfId="4904" xr:uid="{00000000-0005-0000-0000-000028130000}"/>
    <cellStyle name="Accent3 95" xfId="4905" xr:uid="{00000000-0005-0000-0000-000029130000}"/>
    <cellStyle name="Accent3 95 2" xfId="4906" xr:uid="{00000000-0005-0000-0000-00002A130000}"/>
    <cellStyle name="Accent3 95 2 2" xfId="4907" xr:uid="{00000000-0005-0000-0000-00002B130000}"/>
    <cellStyle name="Accent3 95 3" xfId="4908" xr:uid="{00000000-0005-0000-0000-00002C130000}"/>
    <cellStyle name="Accent3 96" xfId="4909" xr:uid="{00000000-0005-0000-0000-00002D130000}"/>
    <cellStyle name="Accent3 96 2" xfId="4910" xr:uid="{00000000-0005-0000-0000-00002E130000}"/>
    <cellStyle name="Accent3 96 2 2" xfId="4911" xr:uid="{00000000-0005-0000-0000-00002F130000}"/>
    <cellStyle name="Accent3 96 3" xfId="4912" xr:uid="{00000000-0005-0000-0000-000030130000}"/>
    <cellStyle name="Accent3 97" xfId="4913" xr:uid="{00000000-0005-0000-0000-000031130000}"/>
    <cellStyle name="Accent3 97 2" xfId="4914" xr:uid="{00000000-0005-0000-0000-000032130000}"/>
    <cellStyle name="Accent3 97 2 2" xfId="4915" xr:uid="{00000000-0005-0000-0000-000033130000}"/>
    <cellStyle name="Accent3 97 3" xfId="4916" xr:uid="{00000000-0005-0000-0000-000034130000}"/>
    <cellStyle name="Accent3 98" xfId="4917" xr:uid="{00000000-0005-0000-0000-000035130000}"/>
    <cellStyle name="Accent3 98 2" xfId="4918" xr:uid="{00000000-0005-0000-0000-000036130000}"/>
    <cellStyle name="Accent3 98 2 2" xfId="4919" xr:uid="{00000000-0005-0000-0000-000037130000}"/>
    <cellStyle name="Accent3 98 3" xfId="4920" xr:uid="{00000000-0005-0000-0000-000038130000}"/>
    <cellStyle name="Accent3 99" xfId="4921" xr:uid="{00000000-0005-0000-0000-000039130000}"/>
    <cellStyle name="Accent3 99 2" xfId="4922" xr:uid="{00000000-0005-0000-0000-00003A130000}"/>
    <cellStyle name="Accent3 99 2 2" xfId="4923" xr:uid="{00000000-0005-0000-0000-00003B130000}"/>
    <cellStyle name="Accent3 99 3" xfId="4924" xr:uid="{00000000-0005-0000-0000-00003C130000}"/>
    <cellStyle name="Accent4 - 20%" xfId="4925" xr:uid="{00000000-0005-0000-0000-00003D130000}"/>
    <cellStyle name="Accent4 - 20% 10" xfId="4926" xr:uid="{00000000-0005-0000-0000-00003E130000}"/>
    <cellStyle name="Accent4 - 20% 11" xfId="4927" xr:uid="{00000000-0005-0000-0000-00003F130000}"/>
    <cellStyle name="Accent4 - 20% 2" xfId="4928" xr:uid="{00000000-0005-0000-0000-000040130000}"/>
    <cellStyle name="Accent4 - 20% 2 2" xfId="4929" xr:uid="{00000000-0005-0000-0000-000041130000}"/>
    <cellStyle name="Accent4 - 20% 2 2 2" xfId="4930" xr:uid="{00000000-0005-0000-0000-000042130000}"/>
    <cellStyle name="Accent4 - 20% 2 2 2 2" xfId="4931" xr:uid="{00000000-0005-0000-0000-000043130000}"/>
    <cellStyle name="Accent4 - 20% 2 2 3" xfId="4932" xr:uid="{00000000-0005-0000-0000-000044130000}"/>
    <cellStyle name="Accent4 - 20% 2 3" xfId="4933" xr:uid="{00000000-0005-0000-0000-000045130000}"/>
    <cellStyle name="Accent4 - 20% 2 3 2" xfId="4934" xr:uid="{00000000-0005-0000-0000-000046130000}"/>
    <cellStyle name="Accent4 - 20% 2 3 2 2" xfId="4935" xr:uid="{00000000-0005-0000-0000-000047130000}"/>
    <cellStyle name="Accent4 - 20% 2 3 2 2 2" xfId="4936" xr:uid="{00000000-0005-0000-0000-000048130000}"/>
    <cellStyle name="Accent4 - 20% 2 3 2 3" xfId="4937" xr:uid="{00000000-0005-0000-0000-000049130000}"/>
    <cellStyle name="Accent4 - 20% 2 3 3" xfId="4938" xr:uid="{00000000-0005-0000-0000-00004A130000}"/>
    <cellStyle name="Accent4 - 20% 2 3 3 2" xfId="4939" xr:uid="{00000000-0005-0000-0000-00004B130000}"/>
    <cellStyle name="Accent4 - 20% 2 3 4" xfId="4940" xr:uid="{00000000-0005-0000-0000-00004C130000}"/>
    <cellStyle name="Accent4 - 20% 2 4" xfId="4941" xr:uid="{00000000-0005-0000-0000-00004D130000}"/>
    <cellStyle name="Accent4 - 20% 2 4 2" xfId="4942" xr:uid="{00000000-0005-0000-0000-00004E130000}"/>
    <cellStyle name="Accent4 - 20% 2 4 2 2" xfId="4943" xr:uid="{00000000-0005-0000-0000-00004F130000}"/>
    <cellStyle name="Accent4 - 20% 2 4 2 2 2" xfId="4944" xr:uid="{00000000-0005-0000-0000-000050130000}"/>
    <cellStyle name="Accent4 - 20% 2 4 2 3" xfId="4945" xr:uid="{00000000-0005-0000-0000-000051130000}"/>
    <cellStyle name="Accent4 - 20% 2 4 3" xfId="4946" xr:uid="{00000000-0005-0000-0000-000052130000}"/>
    <cellStyle name="Accent4 - 20% 2 4 3 2" xfId="4947" xr:uid="{00000000-0005-0000-0000-000053130000}"/>
    <cellStyle name="Accent4 - 20% 2 4 4" xfId="4948" xr:uid="{00000000-0005-0000-0000-000054130000}"/>
    <cellStyle name="Accent4 - 20% 2 5" xfId="4949" xr:uid="{00000000-0005-0000-0000-000055130000}"/>
    <cellStyle name="Accent4 - 20% 2 5 2" xfId="4950" xr:uid="{00000000-0005-0000-0000-000056130000}"/>
    <cellStyle name="Accent4 - 20% 2 6" xfId="4951" xr:uid="{00000000-0005-0000-0000-000057130000}"/>
    <cellStyle name="Accent4 - 20% 2 6 2" xfId="4952" xr:uid="{00000000-0005-0000-0000-000058130000}"/>
    <cellStyle name="Accent4 - 20% 2 7" xfId="4953" xr:uid="{00000000-0005-0000-0000-000059130000}"/>
    <cellStyle name="Accent4 - 20% 3" xfId="4954" xr:uid="{00000000-0005-0000-0000-00005A130000}"/>
    <cellStyle name="Accent4 - 20% 3 2" xfId="4955" xr:uid="{00000000-0005-0000-0000-00005B130000}"/>
    <cellStyle name="Accent4 - 20% 3 2 2" xfId="4956" xr:uid="{00000000-0005-0000-0000-00005C130000}"/>
    <cellStyle name="Accent4 - 20% 3 2 2 2" xfId="4957" xr:uid="{00000000-0005-0000-0000-00005D130000}"/>
    <cellStyle name="Accent4 - 20% 3 2 3" xfId="4958" xr:uid="{00000000-0005-0000-0000-00005E130000}"/>
    <cellStyle name="Accent4 - 20% 3 3" xfId="4959" xr:uid="{00000000-0005-0000-0000-00005F130000}"/>
    <cellStyle name="Accent4 - 20% 3 3 2" xfId="4960" xr:uid="{00000000-0005-0000-0000-000060130000}"/>
    <cellStyle name="Accent4 - 20% 3 4" xfId="4961" xr:uid="{00000000-0005-0000-0000-000061130000}"/>
    <cellStyle name="Accent4 - 20% 4" xfId="4962" xr:uid="{00000000-0005-0000-0000-000062130000}"/>
    <cellStyle name="Accent4 - 20% 4 2" xfId="4963" xr:uid="{00000000-0005-0000-0000-000063130000}"/>
    <cellStyle name="Accent4 - 20% 4 2 2" xfId="4964" xr:uid="{00000000-0005-0000-0000-000064130000}"/>
    <cellStyle name="Accent4 - 20% 4 3" xfId="4965" xr:uid="{00000000-0005-0000-0000-000065130000}"/>
    <cellStyle name="Accent4 - 20% 5" xfId="4966" xr:uid="{00000000-0005-0000-0000-000066130000}"/>
    <cellStyle name="Accent4 - 20% 5 2" xfId="4967" xr:uid="{00000000-0005-0000-0000-000067130000}"/>
    <cellStyle name="Accent4 - 20% 5 2 2" xfId="4968" xr:uid="{00000000-0005-0000-0000-000068130000}"/>
    <cellStyle name="Accent4 - 20% 5 3" xfId="4969" xr:uid="{00000000-0005-0000-0000-000069130000}"/>
    <cellStyle name="Accent4 - 20% 6" xfId="4970" xr:uid="{00000000-0005-0000-0000-00006A130000}"/>
    <cellStyle name="Accent4 - 20% 6 2" xfId="4971" xr:uid="{00000000-0005-0000-0000-00006B130000}"/>
    <cellStyle name="Accent4 - 20% 7" xfId="4972" xr:uid="{00000000-0005-0000-0000-00006C130000}"/>
    <cellStyle name="Accent4 - 20% 7 2" xfId="4973" xr:uid="{00000000-0005-0000-0000-00006D130000}"/>
    <cellStyle name="Accent4 - 20% 8" xfId="4974" xr:uid="{00000000-0005-0000-0000-00006E130000}"/>
    <cellStyle name="Accent4 - 20% 8 2" xfId="4975" xr:uid="{00000000-0005-0000-0000-00006F130000}"/>
    <cellStyle name="Accent4 - 20% 9" xfId="4976" xr:uid="{00000000-0005-0000-0000-000070130000}"/>
    <cellStyle name="Accent4 - 20% 9 2" xfId="4977" xr:uid="{00000000-0005-0000-0000-000071130000}"/>
    <cellStyle name="Accent4 - 40%" xfId="4978" xr:uid="{00000000-0005-0000-0000-000072130000}"/>
    <cellStyle name="Accent4 - 40% 10" xfId="4979" xr:uid="{00000000-0005-0000-0000-000073130000}"/>
    <cellStyle name="Accent4 - 40% 11" xfId="4980" xr:uid="{00000000-0005-0000-0000-000074130000}"/>
    <cellStyle name="Accent4 - 40% 2" xfId="4981" xr:uid="{00000000-0005-0000-0000-000075130000}"/>
    <cellStyle name="Accent4 - 40% 2 2" xfId="4982" xr:uid="{00000000-0005-0000-0000-000076130000}"/>
    <cellStyle name="Accent4 - 40% 2 2 2" xfId="4983" xr:uid="{00000000-0005-0000-0000-000077130000}"/>
    <cellStyle name="Accent4 - 40% 2 2 2 2" xfId="4984" xr:uid="{00000000-0005-0000-0000-000078130000}"/>
    <cellStyle name="Accent4 - 40% 2 2 3" xfId="4985" xr:uid="{00000000-0005-0000-0000-000079130000}"/>
    <cellStyle name="Accent4 - 40% 2 3" xfId="4986" xr:uid="{00000000-0005-0000-0000-00007A130000}"/>
    <cellStyle name="Accent4 - 40% 2 3 2" xfId="4987" xr:uid="{00000000-0005-0000-0000-00007B130000}"/>
    <cellStyle name="Accent4 - 40% 2 3 2 2" xfId="4988" xr:uid="{00000000-0005-0000-0000-00007C130000}"/>
    <cellStyle name="Accent4 - 40% 2 3 2 2 2" xfId="4989" xr:uid="{00000000-0005-0000-0000-00007D130000}"/>
    <cellStyle name="Accent4 - 40% 2 3 2 3" xfId="4990" xr:uid="{00000000-0005-0000-0000-00007E130000}"/>
    <cellStyle name="Accent4 - 40% 2 3 3" xfId="4991" xr:uid="{00000000-0005-0000-0000-00007F130000}"/>
    <cellStyle name="Accent4 - 40% 2 3 3 2" xfId="4992" xr:uid="{00000000-0005-0000-0000-000080130000}"/>
    <cellStyle name="Accent4 - 40% 2 3 4" xfId="4993" xr:uid="{00000000-0005-0000-0000-000081130000}"/>
    <cellStyle name="Accent4 - 40% 2 4" xfId="4994" xr:uid="{00000000-0005-0000-0000-000082130000}"/>
    <cellStyle name="Accent4 - 40% 2 4 2" xfId="4995" xr:uid="{00000000-0005-0000-0000-000083130000}"/>
    <cellStyle name="Accent4 - 40% 2 4 2 2" xfId="4996" xr:uid="{00000000-0005-0000-0000-000084130000}"/>
    <cellStyle name="Accent4 - 40% 2 4 2 2 2" xfId="4997" xr:uid="{00000000-0005-0000-0000-000085130000}"/>
    <cellStyle name="Accent4 - 40% 2 4 2 3" xfId="4998" xr:uid="{00000000-0005-0000-0000-000086130000}"/>
    <cellStyle name="Accent4 - 40% 2 4 3" xfId="4999" xr:uid="{00000000-0005-0000-0000-000087130000}"/>
    <cellStyle name="Accent4 - 40% 2 4 3 2" xfId="5000" xr:uid="{00000000-0005-0000-0000-000088130000}"/>
    <cellStyle name="Accent4 - 40% 2 4 4" xfId="5001" xr:uid="{00000000-0005-0000-0000-000089130000}"/>
    <cellStyle name="Accent4 - 40% 2 5" xfId="5002" xr:uid="{00000000-0005-0000-0000-00008A130000}"/>
    <cellStyle name="Accent4 - 40% 2 5 2" xfId="5003" xr:uid="{00000000-0005-0000-0000-00008B130000}"/>
    <cellStyle name="Accent4 - 40% 2 6" xfId="5004" xr:uid="{00000000-0005-0000-0000-00008C130000}"/>
    <cellStyle name="Accent4 - 40% 2 6 2" xfId="5005" xr:uid="{00000000-0005-0000-0000-00008D130000}"/>
    <cellStyle name="Accent4 - 40% 2 7" xfId="5006" xr:uid="{00000000-0005-0000-0000-00008E130000}"/>
    <cellStyle name="Accent4 - 40% 3" xfId="5007" xr:uid="{00000000-0005-0000-0000-00008F130000}"/>
    <cellStyle name="Accent4 - 40% 3 2" xfId="5008" xr:uid="{00000000-0005-0000-0000-000090130000}"/>
    <cellStyle name="Accent4 - 40% 3 2 2" xfId="5009" xr:uid="{00000000-0005-0000-0000-000091130000}"/>
    <cellStyle name="Accent4 - 40% 3 2 2 2" xfId="5010" xr:uid="{00000000-0005-0000-0000-000092130000}"/>
    <cellStyle name="Accent4 - 40% 3 2 3" xfId="5011" xr:uid="{00000000-0005-0000-0000-000093130000}"/>
    <cellStyle name="Accent4 - 40% 3 3" xfId="5012" xr:uid="{00000000-0005-0000-0000-000094130000}"/>
    <cellStyle name="Accent4 - 40% 3 3 2" xfId="5013" xr:uid="{00000000-0005-0000-0000-000095130000}"/>
    <cellStyle name="Accent4 - 40% 3 4" xfId="5014" xr:uid="{00000000-0005-0000-0000-000096130000}"/>
    <cellStyle name="Accent4 - 40% 4" xfId="5015" xr:uid="{00000000-0005-0000-0000-000097130000}"/>
    <cellStyle name="Accent4 - 40% 4 2" xfId="5016" xr:uid="{00000000-0005-0000-0000-000098130000}"/>
    <cellStyle name="Accent4 - 40% 4 2 2" xfId="5017" xr:uid="{00000000-0005-0000-0000-000099130000}"/>
    <cellStyle name="Accent4 - 40% 4 3" xfId="5018" xr:uid="{00000000-0005-0000-0000-00009A130000}"/>
    <cellStyle name="Accent4 - 40% 5" xfId="5019" xr:uid="{00000000-0005-0000-0000-00009B130000}"/>
    <cellStyle name="Accent4 - 40% 5 2" xfId="5020" xr:uid="{00000000-0005-0000-0000-00009C130000}"/>
    <cellStyle name="Accent4 - 40% 5 2 2" xfId="5021" xr:uid="{00000000-0005-0000-0000-00009D130000}"/>
    <cellStyle name="Accent4 - 40% 5 3" xfId="5022" xr:uid="{00000000-0005-0000-0000-00009E130000}"/>
    <cellStyle name="Accent4 - 40% 6" xfId="5023" xr:uid="{00000000-0005-0000-0000-00009F130000}"/>
    <cellStyle name="Accent4 - 40% 6 2" xfId="5024" xr:uid="{00000000-0005-0000-0000-0000A0130000}"/>
    <cellStyle name="Accent4 - 40% 7" xfId="5025" xr:uid="{00000000-0005-0000-0000-0000A1130000}"/>
    <cellStyle name="Accent4 - 40% 7 2" xfId="5026" xr:uid="{00000000-0005-0000-0000-0000A2130000}"/>
    <cellStyle name="Accent4 - 40% 8" xfId="5027" xr:uid="{00000000-0005-0000-0000-0000A3130000}"/>
    <cellStyle name="Accent4 - 40% 8 2" xfId="5028" xr:uid="{00000000-0005-0000-0000-0000A4130000}"/>
    <cellStyle name="Accent4 - 40% 9" xfId="5029" xr:uid="{00000000-0005-0000-0000-0000A5130000}"/>
    <cellStyle name="Accent4 - 40% 9 2" xfId="5030" xr:uid="{00000000-0005-0000-0000-0000A6130000}"/>
    <cellStyle name="Accent4 - 60%" xfId="5031" xr:uid="{00000000-0005-0000-0000-0000A7130000}"/>
    <cellStyle name="Accent4 - 60% 10" xfId="5032" xr:uid="{00000000-0005-0000-0000-0000A8130000}"/>
    <cellStyle name="Accent4 - 60% 2" xfId="5033" xr:uid="{00000000-0005-0000-0000-0000A9130000}"/>
    <cellStyle name="Accent4 - 60% 2 2" xfId="5034" xr:uid="{00000000-0005-0000-0000-0000AA130000}"/>
    <cellStyle name="Accent4 - 60% 2 2 2" xfId="5035" xr:uid="{00000000-0005-0000-0000-0000AB130000}"/>
    <cellStyle name="Accent4 - 60% 2 3" xfId="5036" xr:uid="{00000000-0005-0000-0000-0000AC130000}"/>
    <cellStyle name="Accent4 - 60% 2 3 2" xfId="5037" xr:uid="{00000000-0005-0000-0000-0000AD130000}"/>
    <cellStyle name="Accent4 - 60% 2 3 2 2" xfId="5038" xr:uid="{00000000-0005-0000-0000-0000AE130000}"/>
    <cellStyle name="Accent4 - 60% 2 3 3" xfId="5039" xr:uid="{00000000-0005-0000-0000-0000AF130000}"/>
    <cellStyle name="Accent4 - 60% 2 4" xfId="5040" xr:uid="{00000000-0005-0000-0000-0000B0130000}"/>
    <cellStyle name="Accent4 - 60% 2 4 2" xfId="5041" xr:uid="{00000000-0005-0000-0000-0000B1130000}"/>
    <cellStyle name="Accent4 - 60% 2 4 2 2" xfId="5042" xr:uid="{00000000-0005-0000-0000-0000B2130000}"/>
    <cellStyle name="Accent4 - 60% 2 4 3" xfId="5043" xr:uid="{00000000-0005-0000-0000-0000B3130000}"/>
    <cellStyle name="Accent4 - 60% 2 5" xfId="5044" xr:uid="{00000000-0005-0000-0000-0000B4130000}"/>
    <cellStyle name="Accent4 - 60% 3" xfId="5045" xr:uid="{00000000-0005-0000-0000-0000B5130000}"/>
    <cellStyle name="Accent4 - 60% 3 2" xfId="5046" xr:uid="{00000000-0005-0000-0000-0000B6130000}"/>
    <cellStyle name="Accent4 - 60% 3 2 2" xfId="5047" xr:uid="{00000000-0005-0000-0000-0000B7130000}"/>
    <cellStyle name="Accent4 - 60% 3 3" xfId="5048" xr:uid="{00000000-0005-0000-0000-0000B8130000}"/>
    <cellStyle name="Accent4 - 60% 4" xfId="5049" xr:uid="{00000000-0005-0000-0000-0000B9130000}"/>
    <cellStyle name="Accent4 - 60% 4 2" xfId="5050" xr:uid="{00000000-0005-0000-0000-0000BA130000}"/>
    <cellStyle name="Accent4 - 60% 5" xfId="5051" xr:uid="{00000000-0005-0000-0000-0000BB130000}"/>
    <cellStyle name="Accent4 - 60% 5 2" xfId="5052" xr:uid="{00000000-0005-0000-0000-0000BC130000}"/>
    <cellStyle name="Accent4 - 60% 6" xfId="5053" xr:uid="{00000000-0005-0000-0000-0000BD130000}"/>
    <cellStyle name="Accent4 - 60% 6 2" xfId="5054" xr:uid="{00000000-0005-0000-0000-0000BE130000}"/>
    <cellStyle name="Accent4 - 60% 6 2 2" xfId="5055" xr:uid="{00000000-0005-0000-0000-0000BF130000}"/>
    <cellStyle name="Accent4 - 60% 6 3" xfId="5056" xr:uid="{00000000-0005-0000-0000-0000C0130000}"/>
    <cellStyle name="Accent4 - 60% 7" xfId="5057" xr:uid="{00000000-0005-0000-0000-0000C1130000}"/>
    <cellStyle name="Accent4 - 60% 7 2" xfId="5058" xr:uid="{00000000-0005-0000-0000-0000C2130000}"/>
    <cellStyle name="Accent4 - 60% 8" xfId="5059" xr:uid="{00000000-0005-0000-0000-0000C3130000}"/>
    <cellStyle name="Accent4 - 60% 8 2" xfId="5060" xr:uid="{00000000-0005-0000-0000-0000C4130000}"/>
    <cellStyle name="Accent4 - 60% 9" xfId="5061" xr:uid="{00000000-0005-0000-0000-0000C5130000}"/>
    <cellStyle name="Accent4 10" xfId="5062" xr:uid="{00000000-0005-0000-0000-0000C6130000}"/>
    <cellStyle name="Accent4 10 2" xfId="5063" xr:uid="{00000000-0005-0000-0000-0000C7130000}"/>
    <cellStyle name="Accent4 10 2 2" xfId="5064" xr:uid="{00000000-0005-0000-0000-0000C8130000}"/>
    <cellStyle name="Accent4 10 3" xfId="5065" xr:uid="{00000000-0005-0000-0000-0000C9130000}"/>
    <cellStyle name="Accent4 100" xfId="5066" xr:uid="{00000000-0005-0000-0000-0000CA130000}"/>
    <cellStyle name="Accent4 100 2" xfId="5067" xr:uid="{00000000-0005-0000-0000-0000CB130000}"/>
    <cellStyle name="Accent4 100 2 2" xfId="5068" xr:uid="{00000000-0005-0000-0000-0000CC130000}"/>
    <cellStyle name="Accent4 100 3" xfId="5069" xr:uid="{00000000-0005-0000-0000-0000CD130000}"/>
    <cellStyle name="Accent4 101" xfId="5070" xr:uid="{00000000-0005-0000-0000-0000CE130000}"/>
    <cellStyle name="Accent4 101 2" xfId="5071" xr:uid="{00000000-0005-0000-0000-0000CF130000}"/>
    <cellStyle name="Accent4 101 2 2" xfId="5072" xr:uid="{00000000-0005-0000-0000-0000D0130000}"/>
    <cellStyle name="Accent4 101 3" xfId="5073" xr:uid="{00000000-0005-0000-0000-0000D1130000}"/>
    <cellStyle name="Accent4 102" xfId="5074" xr:uid="{00000000-0005-0000-0000-0000D2130000}"/>
    <cellStyle name="Accent4 102 2" xfId="5075" xr:uid="{00000000-0005-0000-0000-0000D3130000}"/>
    <cellStyle name="Accent4 103" xfId="5076" xr:uid="{00000000-0005-0000-0000-0000D4130000}"/>
    <cellStyle name="Accent4 103 2" xfId="5077" xr:uid="{00000000-0005-0000-0000-0000D5130000}"/>
    <cellStyle name="Accent4 104" xfId="5078" xr:uid="{00000000-0005-0000-0000-0000D6130000}"/>
    <cellStyle name="Accent4 104 2" xfId="5079" xr:uid="{00000000-0005-0000-0000-0000D7130000}"/>
    <cellStyle name="Accent4 104 2 2" xfId="5080" xr:uid="{00000000-0005-0000-0000-0000D8130000}"/>
    <cellStyle name="Accent4 104 3" xfId="5081" xr:uid="{00000000-0005-0000-0000-0000D9130000}"/>
    <cellStyle name="Accent4 105" xfId="5082" xr:uid="{00000000-0005-0000-0000-0000DA130000}"/>
    <cellStyle name="Accent4 105 2" xfId="5083" xr:uid="{00000000-0005-0000-0000-0000DB130000}"/>
    <cellStyle name="Accent4 105 2 2" xfId="5084" xr:uid="{00000000-0005-0000-0000-0000DC130000}"/>
    <cellStyle name="Accent4 105 3" xfId="5085" xr:uid="{00000000-0005-0000-0000-0000DD130000}"/>
    <cellStyle name="Accent4 106" xfId="5086" xr:uid="{00000000-0005-0000-0000-0000DE130000}"/>
    <cellStyle name="Accent4 106 2" xfId="5087" xr:uid="{00000000-0005-0000-0000-0000DF130000}"/>
    <cellStyle name="Accent4 106 2 2" xfId="5088" xr:uid="{00000000-0005-0000-0000-0000E0130000}"/>
    <cellStyle name="Accent4 106 3" xfId="5089" xr:uid="{00000000-0005-0000-0000-0000E1130000}"/>
    <cellStyle name="Accent4 107" xfId="5090" xr:uid="{00000000-0005-0000-0000-0000E2130000}"/>
    <cellStyle name="Accent4 107 2" xfId="5091" xr:uid="{00000000-0005-0000-0000-0000E3130000}"/>
    <cellStyle name="Accent4 107 2 2" xfId="5092" xr:uid="{00000000-0005-0000-0000-0000E4130000}"/>
    <cellStyle name="Accent4 107 3" xfId="5093" xr:uid="{00000000-0005-0000-0000-0000E5130000}"/>
    <cellStyle name="Accent4 108" xfId="5094" xr:uid="{00000000-0005-0000-0000-0000E6130000}"/>
    <cellStyle name="Accent4 108 2" xfId="5095" xr:uid="{00000000-0005-0000-0000-0000E7130000}"/>
    <cellStyle name="Accent4 108 2 2" xfId="5096" xr:uid="{00000000-0005-0000-0000-0000E8130000}"/>
    <cellStyle name="Accent4 108 3" xfId="5097" xr:uid="{00000000-0005-0000-0000-0000E9130000}"/>
    <cellStyle name="Accent4 109" xfId="5098" xr:uid="{00000000-0005-0000-0000-0000EA130000}"/>
    <cellStyle name="Accent4 109 2" xfId="5099" xr:uid="{00000000-0005-0000-0000-0000EB130000}"/>
    <cellStyle name="Accent4 109 2 2" xfId="5100" xr:uid="{00000000-0005-0000-0000-0000EC130000}"/>
    <cellStyle name="Accent4 109 3" xfId="5101" xr:uid="{00000000-0005-0000-0000-0000ED130000}"/>
    <cellStyle name="Accent4 11" xfId="5102" xr:uid="{00000000-0005-0000-0000-0000EE130000}"/>
    <cellStyle name="Accent4 11 2" xfId="5103" xr:uid="{00000000-0005-0000-0000-0000EF130000}"/>
    <cellStyle name="Accent4 11 2 2" xfId="5104" xr:uid="{00000000-0005-0000-0000-0000F0130000}"/>
    <cellStyle name="Accent4 11 3" xfId="5105" xr:uid="{00000000-0005-0000-0000-0000F1130000}"/>
    <cellStyle name="Accent4 110" xfId="5106" xr:uid="{00000000-0005-0000-0000-0000F2130000}"/>
    <cellStyle name="Accent4 110 2" xfId="5107" xr:uid="{00000000-0005-0000-0000-0000F3130000}"/>
    <cellStyle name="Accent4 110 2 2" xfId="5108" xr:uid="{00000000-0005-0000-0000-0000F4130000}"/>
    <cellStyle name="Accent4 110 3" xfId="5109" xr:uid="{00000000-0005-0000-0000-0000F5130000}"/>
    <cellStyle name="Accent4 111" xfId="5110" xr:uid="{00000000-0005-0000-0000-0000F6130000}"/>
    <cellStyle name="Accent4 111 2" xfId="5111" xr:uid="{00000000-0005-0000-0000-0000F7130000}"/>
    <cellStyle name="Accent4 111 2 2" xfId="5112" xr:uid="{00000000-0005-0000-0000-0000F8130000}"/>
    <cellStyle name="Accent4 111 3" xfId="5113" xr:uid="{00000000-0005-0000-0000-0000F9130000}"/>
    <cellStyle name="Accent4 112" xfId="5114" xr:uid="{00000000-0005-0000-0000-0000FA130000}"/>
    <cellStyle name="Accent4 112 2" xfId="5115" xr:uid="{00000000-0005-0000-0000-0000FB130000}"/>
    <cellStyle name="Accent4 112 2 2" xfId="5116" xr:uid="{00000000-0005-0000-0000-0000FC130000}"/>
    <cellStyle name="Accent4 112 3" xfId="5117" xr:uid="{00000000-0005-0000-0000-0000FD130000}"/>
    <cellStyle name="Accent4 113" xfId="5118" xr:uid="{00000000-0005-0000-0000-0000FE130000}"/>
    <cellStyle name="Accent4 113 2" xfId="5119" xr:uid="{00000000-0005-0000-0000-0000FF130000}"/>
    <cellStyle name="Accent4 113 2 2" xfId="5120" xr:uid="{00000000-0005-0000-0000-000000140000}"/>
    <cellStyle name="Accent4 113 3" xfId="5121" xr:uid="{00000000-0005-0000-0000-000001140000}"/>
    <cellStyle name="Accent4 114" xfId="5122" xr:uid="{00000000-0005-0000-0000-000002140000}"/>
    <cellStyle name="Accent4 114 2" xfId="5123" xr:uid="{00000000-0005-0000-0000-000003140000}"/>
    <cellStyle name="Accent4 115" xfId="5124" xr:uid="{00000000-0005-0000-0000-000004140000}"/>
    <cellStyle name="Accent4 115 2" xfId="5125" xr:uid="{00000000-0005-0000-0000-000005140000}"/>
    <cellStyle name="Accent4 116" xfId="5126" xr:uid="{00000000-0005-0000-0000-000006140000}"/>
    <cellStyle name="Accent4 116 2" xfId="5127" xr:uid="{00000000-0005-0000-0000-000007140000}"/>
    <cellStyle name="Accent4 117" xfId="5128" xr:uid="{00000000-0005-0000-0000-000008140000}"/>
    <cellStyle name="Accent4 117 2" xfId="5129" xr:uid="{00000000-0005-0000-0000-000009140000}"/>
    <cellStyle name="Accent4 118" xfId="5130" xr:uid="{00000000-0005-0000-0000-00000A140000}"/>
    <cellStyle name="Accent4 118 2" xfId="5131" xr:uid="{00000000-0005-0000-0000-00000B140000}"/>
    <cellStyle name="Accent4 119" xfId="5132" xr:uid="{00000000-0005-0000-0000-00000C140000}"/>
    <cellStyle name="Accent4 119 2" xfId="5133" xr:uid="{00000000-0005-0000-0000-00000D140000}"/>
    <cellStyle name="Accent4 12" xfId="5134" xr:uid="{00000000-0005-0000-0000-00000E140000}"/>
    <cellStyle name="Accent4 12 2" xfId="5135" xr:uid="{00000000-0005-0000-0000-00000F140000}"/>
    <cellStyle name="Accent4 12 2 2" xfId="5136" xr:uid="{00000000-0005-0000-0000-000010140000}"/>
    <cellStyle name="Accent4 12 3" xfId="5137" xr:uid="{00000000-0005-0000-0000-000011140000}"/>
    <cellStyle name="Accent4 120" xfId="5138" xr:uid="{00000000-0005-0000-0000-000012140000}"/>
    <cellStyle name="Accent4 120 2" xfId="5139" xr:uid="{00000000-0005-0000-0000-000013140000}"/>
    <cellStyle name="Accent4 121" xfId="5140" xr:uid="{00000000-0005-0000-0000-000014140000}"/>
    <cellStyle name="Accent4 121 2" xfId="5141" xr:uid="{00000000-0005-0000-0000-000015140000}"/>
    <cellStyle name="Accent4 122" xfId="5142" xr:uid="{00000000-0005-0000-0000-000016140000}"/>
    <cellStyle name="Accent4 122 2" xfId="5143" xr:uid="{00000000-0005-0000-0000-000017140000}"/>
    <cellStyle name="Accent4 123" xfId="5144" xr:uid="{00000000-0005-0000-0000-000018140000}"/>
    <cellStyle name="Accent4 123 2" xfId="5145" xr:uid="{00000000-0005-0000-0000-000019140000}"/>
    <cellStyle name="Accent4 124" xfId="5146" xr:uid="{00000000-0005-0000-0000-00001A140000}"/>
    <cellStyle name="Accent4 124 2" xfId="5147" xr:uid="{00000000-0005-0000-0000-00001B140000}"/>
    <cellStyle name="Accent4 125" xfId="5148" xr:uid="{00000000-0005-0000-0000-00001C140000}"/>
    <cellStyle name="Accent4 125 2" xfId="5149" xr:uid="{00000000-0005-0000-0000-00001D140000}"/>
    <cellStyle name="Accent4 126" xfId="5150" xr:uid="{00000000-0005-0000-0000-00001E140000}"/>
    <cellStyle name="Accent4 127" xfId="5151" xr:uid="{00000000-0005-0000-0000-00001F140000}"/>
    <cellStyle name="Accent4 128" xfId="5152" xr:uid="{00000000-0005-0000-0000-000020140000}"/>
    <cellStyle name="Accent4 129" xfId="5153" xr:uid="{00000000-0005-0000-0000-000021140000}"/>
    <cellStyle name="Accent4 13" xfId="5154" xr:uid="{00000000-0005-0000-0000-000022140000}"/>
    <cellStyle name="Accent4 13 2" xfId="5155" xr:uid="{00000000-0005-0000-0000-000023140000}"/>
    <cellStyle name="Accent4 13 2 2" xfId="5156" xr:uid="{00000000-0005-0000-0000-000024140000}"/>
    <cellStyle name="Accent4 13 3" xfId="5157" xr:uid="{00000000-0005-0000-0000-000025140000}"/>
    <cellStyle name="Accent4 130" xfId="5158" xr:uid="{00000000-0005-0000-0000-000026140000}"/>
    <cellStyle name="Accent4 131" xfId="5159" xr:uid="{00000000-0005-0000-0000-000027140000}"/>
    <cellStyle name="Accent4 132" xfId="5160" xr:uid="{00000000-0005-0000-0000-000028140000}"/>
    <cellStyle name="Accent4 133" xfId="5161" xr:uid="{00000000-0005-0000-0000-000029140000}"/>
    <cellStyle name="Accent4 134" xfId="5162" xr:uid="{00000000-0005-0000-0000-00002A140000}"/>
    <cellStyle name="Accent4 135" xfId="5163" xr:uid="{00000000-0005-0000-0000-00002B140000}"/>
    <cellStyle name="Accent4 136" xfId="5164" xr:uid="{00000000-0005-0000-0000-00002C140000}"/>
    <cellStyle name="Accent4 137" xfId="5165" xr:uid="{00000000-0005-0000-0000-00002D140000}"/>
    <cellStyle name="Accent4 138" xfId="5166" xr:uid="{00000000-0005-0000-0000-00002E140000}"/>
    <cellStyle name="Accent4 139" xfId="5167" xr:uid="{00000000-0005-0000-0000-00002F140000}"/>
    <cellStyle name="Accent4 14" xfId="5168" xr:uid="{00000000-0005-0000-0000-000030140000}"/>
    <cellStyle name="Accent4 14 2" xfId="5169" xr:uid="{00000000-0005-0000-0000-000031140000}"/>
    <cellStyle name="Accent4 14 2 2" xfId="5170" xr:uid="{00000000-0005-0000-0000-000032140000}"/>
    <cellStyle name="Accent4 14 3" xfId="5171" xr:uid="{00000000-0005-0000-0000-000033140000}"/>
    <cellStyle name="Accent4 140" xfId="5172" xr:uid="{00000000-0005-0000-0000-000034140000}"/>
    <cellStyle name="Accent4 141" xfId="5173" xr:uid="{00000000-0005-0000-0000-000035140000}"/>
    <cellStyle name="Accent4 142" xfId="5174" xr:uid="{00000000-0005-0000-0000-000036140000}"/>
    <cellStyle name="Accent4 143" xfId="5175" xr:uid="{00000000-0005-0000-0000-000037140000}"/>
    <cellStyle name="Accent4 144" xfId="5176" xr:uid="{00000000-0005-0000-0000-000038140000}"/>
    <cellStyle name="Accent4 145" xfId="5177" xr:uid="{00000000-0005-0000-0000-000039140000}"/>
    <cellStyle name="Accent4 146" xfId="5178" xr:uid="{00000000-0005-0000-0000-00003A140000}"/>
    <cellStyle name="Accent4 147" xfId="5179" xr:uid="{00000000-0005-0000-0000-00003B140000}"/>
    <cellStyle name="Accent4 148" xfId="5180" xr:uid="{00000000-0005-0000-0000-00003C140000}"/>
    <cellStyle name="Accent4 149" xfId="5181" xr:uid="{00000000-0005-0000-0000-00003D140000}"/>
    <cellStyle name="Accent4 15" xfId="5182" xr:uid="{00000000-0005-0000-0000-00003E140000}"/>
    <cellStyle name="Accent4 15 2" xfId="5183" xr:uid="{00000000-0005-0000-0000-00003F140000}"/>
    <cellStyle name="Accent4 15 2 2" xfId="5184" xr:uid="{00000000-0005-0000-0000-000040140000}"/>
    <cellStyle name="Accent4 15 3" xfId="5185" xr:uid="{00000000-0005-0000-0000-000041140000}"/>
    <cellStyle name="Accent4 150" xfId="5186" xr:uid="{00000000-0005-0000-0000-000042140000}"/>
    <cellStyle name="Accent4 151" xfId="5187" xr:uid="{00000000-0005-0000-0000-000043140000}"/>
    <cellStyle name="Accent4 152" xfId="5188" xr:uid="{00000000-0005-0000-0000-000044140000}"/>
    <cellStyle name="Accent4 153" xfId="5189" xr:uid="{00000000-0005-0000-0000-000045140000}"/>
    <cellStyle name="Accent4 154" xfId="5190" xr:uid="{00000000-0005-0000-0000-000046140000}"/>
    <cellStyle name="Accent4 155" xfId="5191" xr:uid="{00000000-0005-0000-0000-000047140000}"/>
    <cellStyle name="Accent4 156" xfId="5192" xr:uid="{00000000-0005-0000-0000-000048140000}"/>
    <cellStyle name="Accent4 157" xfId="5193" xr:uid="{00000000-0005-0000-0000-000049140000}"/>
    <cellStyle name="Accent4 158" xfId="5194" xr:uid="{00000000-0005-0000-0000-00004A140000}"/>
    <cellStyle name="Accent4 159" xfId="5195" xr:uid="{00000000-0005-0000-0000-00004B140000}"/>
    <cellStyle name="Accent4 16" xfId="5196" xr:uid="{00000000-0005-0000-0000-00004C140000}"/>
    <cellStyle name="Accent4 16 2" xfId="5197" xr:uid="{00000000-0005-0000-0000-00004D140000}"/>
    <cellStyle name="Accent4 16 2 2" xfId="5198" xr:uid="{00000000-0005-0000-0000-00004E140000}"/>
    <cellStyle name="Accent4 16 3" xfId="5199" xr:uid="{00000000-0005-0000-0000-00004F140000}"/>
    <cellStyle name="Accent4 160" xfId="5200" xr:uid="{00000000-0005-0000-0000-000050140000}"/>
    <cellStyle name="Accent4 161" xfId="5201" xr:uid="{00000000-0005-0000-0000-000051140000}"/>
    <cellStyle name="Accent4 162" xfId="5202" xr:uid="{00000000-0005-0000-0000-000052140000}"/>
    <cellStyle name="Accent4 163" xfId="5203" xr:uid="{00000000-0005-0000-0000-000053140000}"/>
    <cellStyle name="Accent4 164" xfId="5204" xr:uid="{00000000-0005-0000-0000-000054140000}"/>
    <cellStyle name="Accent4 165" xfId="5205" xr:uid="{00000000-0005-0000-0000-000055140000}"/>
    <cellStyle name="Accent4 166" xfId="5206" xr:uid="{00000000-0005-0000-0000-000056140000}"/>
    <cellStyle name="Accent4 167" xfId="5207" xr:uid="{00000000-0005-0000-0000-000057140000}"/>
    <cellStyle name="Accent4 168" xfId="5208" xr:uid="{00000000-0005-0000-0000-000058140000}"/>
    <cellStyle name="Accent4 169" xfId="5209" xr:uid="{00000000-0005-0000-0000-000059140000}"/>
    <cellStyle name="Accent4 17" xfId="5210" xr:uid="{00000000-0005-0000-0000-00005A140000}"/>
    <cellStyle name="Accent4 17 2" xfId="5211" xr:uid="{00000000-0005-0000-0000-00005B140000}"/>
    <cellStyle name="Accent4 17 2 2" xfId="5212" xr:uid="{00000000-0005-0000-0000-00005C140000}"/>
    <cellStyle name="Accent4 17 3" xfId="5213" xr:uid="{00000000-0005-0000-0000-00005D140000}"/>
    <cellStyle name="Accent4 170" xfId="5214" xr:uid="{00000000-0005-0000-0000-00005E140000}"/>
    <cellStyle name="Accent4 171" xfId="5215" xr:uid="{00000000-0005-0000-0000-00005F140000}"/>
    <cellStyle name="Accent4 172" xfId="5216" xr:uid="{00000000-0005-0000-0000-000060140000}"/>
    <cellStyle name="Accent4 173" xfId="5217" xr:uid="{00000000-0005-0000-0000-000061140000}"/>
    <cellStyle name="Accent4 174" xfId="5218" xr:uid="{00000000-0005-0000-0000-000062140000}"/>
    <cellStyle name="Accent4 175" xfId="5219" xr:uid="{00000000-0005-0000-0000-000063140000}"/>
    <cellStyle name="Accent4 176" xfId="5220" xr:uid="{00000000-0005-0000-0000-000064140000}"/>
    <cellStyle name="Accent4 177" xfId="5221" xr:uid="{00000000-0005-0000-0000-000065140000}"/>
    <cellStyle name="Accent4 178" xfId="5222" xr:uid="{00000000-0005-0000-0000-000066140000}"/>
    <cellStyle name="Accent4 179" xfId="5223" xr:uid="{00000000-0005-0000-0000-000067140000}"/>
    <cellStyle name="Accent4 18" xfId="5224" xr:uid="{00000000-0005-0000-0000-000068140000}"/>
    <cellStyle name="Accent4 18 2" xfId="5225" xr:uid="{00000000-0005-0000-0000-000069140000}"/>
    <cellStyle name="Accent4 18 2 2" xfId="5226" xr:uid="{00000000-0005-0000-0000-00006A140000}"/>
    <cellStyle name="Accent4 18 3" xfId="5227" xr:uid="{00000000-0005-0000-0000-00006B140000}"/>
    <cellStyle name="Accent4 19" xfId="5228" xr:uid="{00000000-0005-0000-0000-00006C140000}"/>
    <cellStyle name="Accent4 19 2" xfId="5229" xr:uid="{00000000-0005-0000-0000-00006D140000}"/>
    <cellStyle name="Accent4 19 2 2" xfId="5230" xr:uid="{00000000-0005-0000-0000-00006E140000}"/>
    <cellStyle name="Accent4 19 3" xfId="5231" xr:uid="{00000000-0005-0000-0000-00006F140000}"/>
    <cellStyle name="Accent4 2" xfId="5232" xr:uid="{00000000-0005-0000-0000-000070140000}"/>
    <cellStyle name="Accent4 2 10" xfId="5233" xr:uid="{00000000-0005-0000-0000-000071140000}"/>
    <cellStyle name="Accent4 2 10 2" xfId="5234" xr:uid="{00000000-0005-0000-0000-000072140000}"/>
    <cellStyle name="Accent4 2 11" xfId="5235" xr:uid="{00000000-0005-0000-0000-000073140000}"/>
    <cellStyle name="Accent4 2 12" xfId="5236" xr:uid="{00000000-0005-0000-0000-000074140000}"/>
    <cellStyle name="Accent4 2 2" xfId="5237" xr:uid="{00000000-0005-0000-0000-000075140000}"/>
    <cellStyle name="Accent4 2 2 2" xfId="5238" xr:uid="{00000000-0005-0000-0000-000076140000}"/>
    <cellStyle name="Accent4 2 2 2 2" xfId="5239" xr:uid="{00000000-0005-0000-0000-000077140000}"/>
    <cellStyle name="Accent4 2 2 3" xfId="5240" xr:uid="{00000000-0005-0000-0000-000078140000}"/>
    <cellStyle name="Accent4 2 2 3 2" xfId="5241" xr:uid="{00000000-0005-0000-0000-000079140000}"/>
    <cellStyle name="Accent4 2 2 3 2 2" xfId="5242" xr:uid="{00000000-0005-0000-0000-00007A140000}"/>
    <cellStyle name="Accent4 2 2 3 3" xfId="5243" xr:uid="{00000000-0005-0000-0000-00007B140000}"/>
    <cellStyle name="Accent4 2 2 4" xfId="5244" xr:uid="{00000000-0005-0000-0000-00007C140000}"/>
    <cellStyle name="Accent4 2 3" xfId="5245" xr:uid="{00000000-0005-0000-0000-00007D140000}"/>
    <cellStyle name="Accent4 2 3 2" xfId="5246" xr:uid="{00000000-0005-0000-0000-00007E140000}"/>
    <cellStyle name="Accent4 2 3 2 2" xfId="5247" xr:uid="{00000000-0005-0000-0000-00007F140000}"/>
    <cellStyle name="Accent4 2 3 3" xfId="5248" xr:uid="{00000000-0005-0000-0000-000080140000}"/>
    <cellStyle name="Accent4 2 3 3 2" xfId="5249" xr:uid="{00000000-0005-0000-0000-000081140000}"/>
    <cellStyle name="Accent4 2 3 3 2 2" xfId="5250" xr:uid="{00000000-0005-0000-0000-000082140000}"/>
    <cellStyle name="Accent4 2 3 3 3" xfId="5251" xr:uid="{00000000-0005-0000-0000-000083140000}"/>
    <cellStyle name="Accent4 2 3 4" xfId="5252" xr:uid="{00000000-0005-0000-0000-000084140000}"/>
    <cellStyle name="Accent4 2 4" xfId="5253" xr:uid="{00000000-0005-0000-0000-000085140000}"/>
    <cellStyle name="Accent4 2 4 2" xfId="5254" xr:uid="{00000000-0005-0000-0000-000086140000}"/>
    <cellStyle name="Accent4 2 4 2 2" xfId="5255" xr:uid="{00000000-0005-0000-0000-000087140000}"/>
    <cellStyle name="Accent4 2 4 3" xfId="5256" xr:uid="{00000000-0005-0000-0000-000088140000}"/>
    <cellStyle name="Accent4 2 5" xfId="5257" xr:uid="{00000000-0005-0000-0000-000089140000}"/>
    <cellStyle name="Accent4 2 5 2" xfId="5258" xr:uid="{00000000-0005-0000-0000-00008A140000}"/>
    <cellStyle name="Accent4 2 5 2 2" xfId="5259" xr:uid="{00000000-0005-0000-0000-00008B140000}"/>
    <cellStyle name="Accent4 2 5 3" xfId="5260" xr:uid="{00000000-0005-0000-0000-00008C140000}"/>
    <cellStyle name="Accent4 2 5 3 2" xfId="5261" xr:uid="{00000000-0005-0000-0000-00008D140000}"/>
    <cellStyle name="Accent4 2 5 3 2 2" xfId="5262" xr:uid="{00000000-0005-0000-0000-00008E140000}"/>
    <cellStyle name="Accent4 2 5 3 3" xfId="5263" xr:uid="{00000000-0005-0000-0000-00008F140000}"/>
    <cellStyle name="Accent4 2 5 4" xfId="5264" xr:uid="{00000000-0005-0000-0000-000090140000}"/>
    <cellStyle name="Accent4 2 6" xfId="5265" xr:uid="{00000000-0005-0000-0000-000091140000}"/>
    <cellStyle name="Accent4 2 6 2" xfId="5266" xr:uid="{00000000-0005-0000-0000-000092140000}"/>
    <cellStyle name="Accent4 2 6 2 2" xfId="5267" xr:uid="{00000000-0005-0000-0000-000093140000}"/>
    <cellStyle name="Accent4 2 6 3" xfId="5268" xr:uid="{00000000-0005-0000-0000-000094140000}"/>
    <cellStyle name="Accent4 2 6 3 2" xfId="5269" xr:uid="{00000000-0005-0000-0000-000095140000}"/>
    <cellStyle name="Accent4 2 6 4" xfId="5270" xr:uid="{00000000-0005-0000-0000-000096140000}"/>
    <cellStyle name="Accent4 2 7" xfId="5271" xr:uid="{00000000-0005-0000-0000-000097140000}"/>
    <cellStyle name="Accent4 2 7 2" xfId="5272" xr:uid="{00000000-0005-0000-0000-000098140000}"/>
    <cellStyle name="Accent4 2 8" xfId="5273" xr:uid="{00000000-0005-0000-0000-000099140000}"/>
    <cellStyle name="Accent4 2 8 2" xfId="5274" xr:uid="{00000000-0005-0000-0000-00009A140000}"/>
    <cellStyle name="Accent4 2 8 2 2" xfId="5275" xr:uid="{00000000-0005-0000-0000-00009B140000}"/>
    <cellStyle name="Accent4 2 8 3" xfId="5276" xr:uid="{00000000-0005-0000-0000-00009C140000}"/>
    <cellStyle name="Accent4 2 9" xfId="5277" xr:uid="{00000000-0005-0000-0000-00009D140000}"/>
    <cellStyle name="Accent4 2 9 2" xfId="5278" xr:uid="{00000000-0005-0000-0000-00009E140000}"/>
    <cellStyle name="Accent4 2 9 2 2" xfId="5279" xr:uid="{00000000-0005-0000-0000-00009F140000}"/>
    <cellStyle name="Accent4 2 9 3" xfId="5280" xr:uid="{00000000-0005-0000-0000-0000A0140000}"/>
    <cellStyle name="Accent4 20" xfId="5281" xr:uid="{00000000-0005-0000-0000-0000A1140000}"/>
    <cellStyle name="Accent4 20 2" xfId="5282" xr:uid="{00000000-0005-0000-0000-0000A2140000}"/>
    <cellStyle name="Accent4 20 2 2" xfId="5283" xr:uid="{00000000-0005-0000-0000-0000A3140000}"/>
    <cellStyle name="Accent4 20 3" xfId="5284" xr:uid="{00000000-0005-0000-0000-0000A4140000}"/>
    <cellStyle name="Accent4 21" xfId="5285" xr:uid="{00000000-0005-0000-0000-0000A5140000}"/>
    <cellStyle name="Accent4 21 2" xfId="5286" xr:uid="{00000000-0005-0000-0000-0000A6140000}"/>
    <cellStyle name="Accent4 21 2 2" xfId="5287" xr:uid="{00000000-0005-0000-0000-0000A7140000}"/>
    <cellStyle name="Accent4 21 3" xfId="5288" xr:uid="{00000000-0005-0000-0000-0000A8140000}"/>
    <cellStyle name="Accent4 22" xfId="5289" xr:uid="{00000000-0005-0000-0000-0000A9140000}"/>
    <cellStyle name="Accent4 22 2" xfId="5290" xr:uid="{00000000-0005-0000-0000-0000AA140000}"/>
    <cellStyle name="Accent4 22 2 2" xfId="5291" xr:uid="{00000000-0005-0000-0000-0000AB140000}"/>
    <cellStyle name="Accent4 22 3" xfId="5292" xr:uid="{00000000-0005-0000-0000-0000AC140000}"/>
    <cellStyle name="Accent4 23" xfId="5293" xr:uid="{00000000-0005-0000-0000-0000AD140000}"/>
    <cellStyle name="Accent4 23 2" xfId="5294" xr:uid="{00000000-0005-0000-0000-0000AE140000}"/>
    <cellStyle name="Accent4 23 2 2" xfId="5295" xr:uid="{00000000-0005-0000-0000-0000AF140000}"/>
    <cellStyle name="Accent4 23 3" xfId="5296" xr:uid="{00000000-0005-0000-0000-0000B0140000}"/>
    <cellStyle name="Accent4 24" xfId="5297" xr:uid="{00000000-0005-0000-0000-0000B1140000}"/>
    <cellStyle name="Accent4 24 2" xfId="5298" xr:uid="{00000000-0005-0000-0000-0000B2140000}"/>
    <cellStyle name="Accent4 24 2 2" xfId="5299" xr:uid="{00000000-0005-0000-0000-0000B3140000}"/>
    <cellStyle name="Accent4 24 3" xfId="5300" xr:uid="{00000000-0005-0000-0000-0000B4140000}"/>
    <cellStyle name="Accent4 25" xfId="5301" xr:uid="{00000000-0005-0000-0000-0000B5140000}"/>
    <cellStyle name="Accent4 25 2" xfId="5302" xr:uid="{00000000-0005-0000-0000-0000B6140000}"/>
    <cellStyle name="Accent4 25 2 2" xfId="5303" xr:uid="{00000000-0005-0000-0000-0000B7140000}"/>
    <cellStyle name="Accent4 25 3" xfId="5304" xr:uid="{00000000-0005-0000-0000-0000B8140000}"/>
    <cellStyle name="Accent4 26" xfId="5305" xr:uid="{00000000-0005-0000-0000-0000B9140000}"/>
    <cellStyle name="Accent4 26 2" xfId="5306" xr:uid="{00000000-0005-0000-0000-0000BA140000}"/>
    <cellStyle name="Accent4 26 2 2" xfId="5307" xr:uid="{00000000-0005-0000-0000-0000BB140000}"/>
    <cellStyle name="Accent4 26 3" xfId="5308" xr:uid="{00000000-0005-0000-0000-0000BC140000}"/>
    <cellStyle name="Accent4 27" xfId="5309" xr:uid="{00000000-0005-0000-0000-0000BD140000}"/>
    <cellStyle name="Accent4 27 2" xfId="5310" xr:uid="{00000000-0005-0000-0000-0000BE140000}"/>
    <cellStyle name="Accent4 27 2 2" xfId="5311" xr:uid="{00000000-0005-0000-0000-0000BF140000}"/>
    <cellStyle name="Accent4 27 3" xfId="5312" xr:uid="{00000000-0005-0000-0000-0000C0140000}"/>
    <cellStyle name="Accent4 28" xfId="5313" xr:uid="{00000000-0005-0000-0000-0000C1140000}"/>
    <cellStyle name="Accent4 28 2" xfId="5314" xr:uid="{00000000-0005-0000-0000-0000C2140000}"/>
    <cellStyle name="Accent4 28 2 2" xfId="5315" xr:uid="{00000000-0005-0000-0000-0000C3140000}"/>
    <cellStyle name="Accent4 28 3" xfId="5316" xr:uid="{00000000-0005-0000-0000-0000C4140000}"/>
    <cellStyle name="Accent4 29" xfId="5317" xr:uid="{00000000-0005-0000-0000-0000C5140000}"/>
    <cellStyle name="Accent4 29 2" xfId="5318" xr:uid="{00000000-0005-0000-0000-0000C6140000}"/>
    <cellStyle name="Accent4 29 2 2" xfId="5319" xr:uid="{00000000-0005-0000-0000-0000C7140000}"/>
    <cellStyle name="Accent4 29 3" xfId="5320" xr:uid="{00000000-0005-0000-0000-0000C8140000}"/>
    <cellStyle name="Accent4 3" xfId="5321" xr:uid="{00000000-0005-0000-0000-0000C9140000}"/>
    <cellStyle name="Accent4 3 10" xfId="5322" xr:uid="{00000000-0005-0000-0000-0000CA140000}"/>
    <cellStyle name="Accent4 3 10 2" xfId="5323" xr:uid="{00000000-0005-0000-0000-0000CB140000}"/>
    <cellStyle name="Accent4 3 10 2 2" xfId="5324" xr:uid="{00000000-0005-0000-0000-0000CC140000}"/>
    <cellStyle name="Accent4 3 10 3" xfId="5325" xr:uid="{00000000-0005-0000-0000-0000CD140000}"/>
    <cellStyle name="Accent4 3 11" xfId="5326" xr:uid="{00000000-0005-0000-0000-0000CE140000}"/>
    <cellStyle name="Accent4 3 11 2" xfId="5327" xr:uid="{00000000-0005-0000-0000-0000CF140000}"/>
    <cellStyle name="Accent4 3 12" xfId="5328" xr:uid="{00000000-0005-0000-0000-0000D0140000}"/>
    <cellStyle name="Accent4 3 2" xfId="5329" xr:uid="{00000000-0005-0000-0000-0000D1140000}"/>
    <cellStyle name="Accent4 3 2 2" xfId="5330" xr:uid="{00000000-0005-0000-0000-0000D2140000}"/>
    <cellStyle name="Accent4 3 2 2 2" xfId="5331" xr:uid="{00000000-0005-0000-0000-0000D3140000}"/>
    <cellStyle name="Accent4 3 2 3" xfId="5332" xr:uid="{00000000-0005-0000-0000-0000D4140000}"/>
    <cellStyle name="Accent4 3 2 3 2" xfId="5333" xr:uid="{00000000-0005-0000-0000-0000D5140000}"/>
    <cellStyle name="Accent4 3 2 3 2 2" xfId="5334" xr:uid="{00000000-0005-0000-0000-0000D6140000}"/>
    <cellStyle name="Accent4 3 2 3 3" xfId="5335" xr:uid="{00000000-0005-0000-0000-0000D7140000}"/>
    <cellStyle name="Accent4 3 2 4" xfId="5336" xr:uid="{00000000-0005-0000-0000-0000D8140000}"/>
    <cellStyle name="Accent4 3 3" xfId="5337" xr:uid="{00000000-0005-0000-0000-0000D9140000}"/>
    <cellStyle name="Accent4 3 3 2" xfId="5338" xr:uid="{00000000-0005-0000-0000-0000DA140000}"/>
    <cellStyle name="Accent4 3 3 2 2" xfId="5339" xr:uid="{00000000-0005-0000-0000-0000DB140000}"/>
    <cellStyle name="Accent4 3 3 3" xfId="5340" xr:uid="{00000000-0005-0000-0000-0000DC140000}"/>
    <cellStyle name="Accent4 3 3 3 2" xfId="5341" xr:uid="{00000000-0005-0000-0000-0000DD140000}"/>
    <cellStyle name="Accent4 3 3 3 2 2" xfId="5342" xr:uid="{00000000-0005-0000-0000-0000DE140000}"/>
    <cellStyle name="Accent4 3 3 3 3" xfId="5343" xr:uid="{00000000-0005-0000-0000-0000DF140000}"/>
    <cellStyle name="Accent4 3 3 4" xfId="5344" xr:uid="{00000000-0005-0000-0000-0000E0140000}"/>
    <cellStyle name="Accent4 3 4" xfId="5345" xr:uid="{00000000-0005-0000-0000-0000E1140000}"/>
    <cellStyle name="Accent4 3 4 2" xfId="5346" xr:uid="{00000000-0005-0000-0000-0000E2140000}"/>
    <cellStyle name="Accent4 3 4 2 2" xfId="5347" xr:uid="{00000000-0005-0000-0000-0000E3140000}"/>
    <cellStyle name="Accent4 3 4 3" xfId="5348" xr:uid="{00000000-0005-0000-0000-0000E4140000}"/>
    <cellStyle name="Accent4 3 5" xfId="5349" xr:uid="{00000000-0005-0000-0000-0000E5140000}"/>
    <cellStyle name="Accent4 3 5 2" xfId="5350" xr:uid="{00000000-0005-0000-0000-0000E6140000}"/>
    <cellStyle name="Accent4 3 5 2 2" xfId="5351" xr:uid="{00000000-0005-0000-0000-0000E7140000}"/>
    <cellStyle name="Accent4 3 5 3" xfId="5352" xr:uid="{00000000-0005-0000-0000-0000E8140000}"/>
    <cellStyle name="Accent4 3 5 3 2" xfId="5353" xr:uid="{00000000-0005-0000-0000-0000E9140000}"/>
    <cellStyle name="Accent4 3 5 3 2 2" xfId="5354" xr:uid="{00000000-0005-0000-0000-0000EA140000}"/>
    <cellStyle name="Accent4 3 5 3 3" xfId="5355" xr:uid="{00000000-0005-0000-0000-0000EB140000}"/>
    <cellStyle name="Accent4 3 5 4" xfId="5356" xr:uid="{00000000-0005-0000-0000-0000EC140000}"/>
    <cellStyle name="Accent4 3 6" xfId="5357" xr:uid="{00000000-0005-0000-0000-0000ED140000}"/>
    <cellStyle name="Accent4 3 6 2" xfId="5358" xr:uid="{00000000-0005-0000-0000-0000EE140000}"/>
    <cellStyle name="Accent4 3 7" xfId="5359" xr:uid="{00000000-0005-0000-0000-0000EF140000}"/>
    <cellStyle name="Accent4 3 7 2" xfId="5360" xr:uid="{00000000-0005-0000-0000-0000F0140000}"/>
    <cellStyle name="Accent4 3 8" xfId="5361" xr:uid="{00000000-0005-0000-0000-0000F1140000}"/>
    <cellStyle name="Accent4 3 8 2" xfId="5362" xr:uid="{00000000-0005-0000-0000-0000F2140000}"/>
    <cellStyle name="Accent4 3 8 2 2" xfId="5363" xr:uid="{00000000-0005-0000-0000-0000F3140000}"/>
    <cellStyle name="Accent4 3 8 3" xfId="5364" xr:uid="{00000000-0005-0000-0000-0000F4140000}"/>
    <cellStyle name="Accent4 3 9" xfId="5365" xr:uid="{00000000-0005-0000-0000-0000F5140000}"/>
    <cellStyle name="Accent4 3 9 2" xfId="5366" xr:uid="{00000000-0005-0000-0000-0000F6140000}"/>
    <cellStyle name="Accent4 3 9 2 2" xfId="5367" xr:uid="{00000000-0005-0000-0000-0000F7140000}"/>
    <cellStyle name="Accent4 3 9 3" xfId="5368" xr:uid="{00000000-0005-0000-0000-0000F8140000}"/>
    <cellStyle name="Accent4 30" xfId="5369" xr:uid="{00000000-0005-0000-0000-0000F9140000}"/>
    <cellStyle name="Accent4 30 2" xfId="5370" xr:uid="{00000000-0005-0000-0000-0000FA140000}"/>
    <cellStyle name="Accent4 30 2 2" xfId="5371" xr:uid="{00000000-0005-0000-0000-0000FB140000}"/>
    <cellStyle name="Accent4 30 3" xfId="5372" xr:uid="{00000000-0005-0000-0000-0000FC140000}"/>
    <cellStyle name="Accent4 31" xfId="5373" xr:uid="{00000000-0005-0000-0000-0000FD140000}"/>
    <cellStyle name="Accent4 31 2" xfId="5374" xr:uid="{00000000-0005-0000-0000-0000FE140000}"/>
    <cellStyle name="Accent4 31 2 2" xfId="5375" xr:uid="{00000000-0005-0000-0000-0000FF140000}"/>
    <cellStyle name="Accent4 31 3" xfId="5376" xr:uid="{00000000-0005-0000-0000-000000150000}"/>
    <cellStyle name="Accent4 32" xfId="5377" xr:uid="{00000000-0005-0000-0000-000001150000}"/>
    <cellStyle name="Accent4 32 2" xfId="5378" xr:uid="{00000000-0005-0000-0000-000002150000}"/>
    <cellStyle name="Accent4 32 2 2" xfId="5379" xr:uid="{00000000-0005-0000-0000-000003150000}"/>
    <cellStyle name="Accent4 32 3" xfId="5380" xr:uid="{00000000-0005-0000-0000-000004150000}"/>
    <cellStyle name="Accent4 33" xfId="5381" xr:uid="{00000000-0005-0000-0000-000005150000}"/>
    <cellStyle name="Accent4 33 2" xfId="5382" xr:uid="{00000000-0005-0000-0000-000006150000}"/>
    <cellStyle name="Accent4 33 2 2" xfId="5383" xr:uid="{00000000-0005-0000-0000-000007150000}"/>
    <cellStyle name="Accent4 33 3" xfId="5384" xr:uid="{00000000-0005-0000-0000-000008150000}"/>
    <cellStyle name="Accent4 34" xfId="5385" xr:uid="{00000000-0005-0000-0000-000009150000}"/>
    <cellStyle name="Accent4 34 2" xfId="5386" xr:uid="{00000000-0005-0000-0000-00000A150000}"/>
    <cellStyle name="Accent4 34 2 2" xfId="5387" xr:uid="{00000000-0005-0000-0000-00000B150000}"/>
    <cellStyle name="Accent4 34 3" xfId="5388" xr:uid="{00000000-0005-0000-0000-00000C150000}"/>
    <cellStyle name="Accent4 35" xfId="5389" xr:uid="{00000000-0005-0000-0000-00000D150000}"/>
    <cellStyle name="Accent4 35 2" xfId="5390" xr:uid="{00000000-0005-0000-0000-00000E150000}"/>
    <cellStyle name="Accent4 35 2 2" xfId="5391" xr:uid="{00000000-0005-0000-0000-00000F150000}"/>
    <cellStyle name="Accent4 35 3" xfId="5392" xr:uid="{00000000-0005-0000-0000-000010150000}"/>
    <cellStyle name="Accent4 36" xfId="5393" xr:uid="{00000000-0005-0000-0000-000011150000}"/>
    <cellStyle name="Accent4 36 2" xfId="5394" xr:uid="{00000000-0005-0000-0000-000012150000}"/>
    <cellStyle name="Accent4 36 2 2" xfId="5395" xr:uid="{00000000-0005-0000-0000-000013150000}"/>
    <cellStyle name="Accent4 36 3" xfId="5396" xr:uid="{00000000-0005-0000-0000-000014150000}"/>
    <cellStyle name="Accent4 37" xfId="5397" xr:uid="{00000000-0005-0000-0000-000015150000}"/>
    <cellStyle name="Accent4 37 2" xfId="5398" xr:uid="{00000000-0005-0000-0000-000016150000}"/>
    <cellStyle name="Accent4 37 2 2" xfId="5399" xr:uid="{00000000-0005-0000-0000-000017150000}"/>
    <cellStyle name="Accent4 37 3" xfId="5400" xr:uid="{00000000-0005-0000-0000-000018150000}"/>
    <cellStyle name="Accent4 38" xfId="5401" xr:uid="{00000000-0005-0000-0000-000019150000}"/>
    <cellStyle name="Accent4 38 2" xfId="5402" xr:uid="{00000000-0005-0000-0000-00001A150000}"/>
    <cellStyle name="Accent4 38 2 2" xfId="5403" xr:uid="{00000000-0005-0000-0000-00001B150000}"/>
    <cellStyle name="Accent4 38 3" xfId="5404" xr:uid="{00000000-0005-0000-0000-00001C150000}"/>
    <cellStyle name="Accent4 39" xfId="5405" xr:uid="{00000000-0005-0000-0000-00001D150000}"/>
    <cellStyle name="Accent4 39 2" xfId="5406" xr:uid="{00000000-0005-0000-0000-00001E150000}"/>
    <cellStyle name="Accent4 39 2 2" xfId="5407" xr:uid="{00000000-0005-0000-0000-00001F150000}"/>
    <cellStyle name="Accent4 39 3" xfId="5408" xr:uid="{00000000-0005-0000-0000-000020150000}"/>
    <cellStyle name="Accent4 4" xfId="5409" xr:uid="{00000000-0005-0000-0000-000021150000}"/>
    <cellStyle name="Accent4 4 2" xfId="5410" xr:uid="{00000000-0005-0000-0000-000022150000}"/>
    <cellStyle name="Accent4 4 2 2" xfId="5411" xr:uid="{00000000-0005-0000-0000-000023150000}"/>
    <cellStyle name="Accent4 4 2 2 2" xfId="5412" xr:uid="{00000000-0005-0000-0000-000024150000}"/>
    <cellStyle name="Accent4 4 2 3" xfId="5413" xr:uid="{00000000-0005-0000-0000-000025150000}"/>
    <cellStyle name="Accent4 4 2 3 2" xfId="5414" xr:uid="{00000000-0005-0000-0000-000026150000}"/>
    <cellStyle name="Accent4 4 2 3 2 2" xfId="5415" xr:uid="{00000000-0005-0000-0000-000027150000}"/>
    <cellStyle name="Accent4 4 2 3 3" xfId="5416" xr:uid="{00000000-0005-0000-0000-000028150000}"/>
    <cellStyle name="Accent4 4 2 4" xfId="5417" xr:uid="{00000000-0005-0000-0000-000029150000}"/>
    <cellStyle name="Accent4 4 3" xfId="5418" xr:uid="{00000000-0005-0000-0000-00002A150000}"/>
    <cellStyle name="Accent4 4 3 2" xfId="5419" xr:uid="{00000000-0005-0000-0000-00002B150000}"/>
    <cellStyle name="Accent4 4 3 2 2" xfId="5420" xr:uid="{00000000-0005-0000-0000-00002C150000}"/>
    <cellStyle name="Accent4 4 3 3" xfId="5421" xr:uid="{00000000-0005-0000-0000-00002D150000}"/>
    <cellStyle name="Accent4 4 3 3 2" xfId="5422" xr:uid="{00000000-0005-0000-0000-00002E150000}"/>
    <cellStyle name="Accent4 4 3 3 2 2" xfId="5423" xr:uid="{00000000-0005-0000-0000-00002F150000}"/>
    <cellStyle name="Accent4 4 3 3 3" xfId="5424" xr:uid="{00000000-0005-0000-0000-000030150000}"/>
    <cellStyle name="Accent4 4 3 4" xfId="5425" xr:uid="{00000000-0005-0000-0000-000031150000}"/>
    <cellStyle name="Accent4 4 4" xfId="5426" xr:uid="{00000000-0005-0000-0000-000032150000}"/>
    <cellStyle name="Accent4 4 4 2" xfId="5427" xr:uid="{00000000-0005-0000-0000-000033150000}"/>
    <cellStyle name="Accent4 4 4 2 2" xfId="5428" xr:uid="{00000000-0005-0000-0000-000034150000}"/>
    <cellStyle name="Accent4 4 4 3" xfId="5429" xr:uid="{00000000-0005-0000-0000-000035150000}"/>
    <cellStyle name="Accent4 4 5" xfId="5430" xr:uid="{00000000-0005-0000-0000-000036150000}"/>
    <cellStyle name="Accent4 4 5 2" xfId="5431" xr:uid="{00000000-0005-0000-0000-000037150000}"/>
    <cellStyle name="Accent4 4 6" xfId="5432" xr:uid="{00000000-0005-0000-0000-000038150000}"/>
    <cellStyle name="Accent4 4 6 2" xfId="5433" xr:uid="{00000000-0005-0000-0000-000039150000}"/>
    <cellStyle name="Accent4 4 6 2 2" xfId="5434" xr:uid="{00000000-0005-0000-0000-00003A150000}"/>
    <cellStyle name="Accent4 4 6 3" xfId="5435" xr:uid="{00000000-0005-0000-0000-00003B150000}"/>
    <cellStyle name="Accent4 4 7" xfId="5436" xr:uid="{00000000-0005-0000-0000-00003C150000}"/>
    <cellStyle name="Accent4 4 7 2" xfId="5437" xr:uid="{00000000-0005-0000-0000-00003D150000}"/>
    <cellStyle name="Accent4 4 7 2 2" xfId="5438" xr:uid="{00000000-0005-0000-0000-00003E150000}"/>
    <cellStyle name="Accent4 4 7 3" xfId="5439" xr:uid="{00000000-0005-0000-0000-00003F150000}"/>
    <cellStyle name="Accent4 4 8" xfId="5440" xr:uid="{00000000-0005-0000-0000-000040150000}"/>
    <cellStyle name="Accent4 40" xfId="5441" xr:uid="{00000000-0005-0000-0000-000041150000}"/>
    <cellStyle name="Accent4 40 2" xfId="5442" xr:uid="{00000000-0005-0000-0000-000042150000}"/>
    <cellStyle name="Accent4 40 2 2" xfId="5443" xr:uid="{00000000-0005-0000-0000-000043150000}"/>
    <cellStyle name="Accent4 40 3" xfId="5444" xr:uid="{00000000-0005-0000-0000-000044150000}"/>
    <cellStyle name="Accent4 41" xfId="5445" xr:uid="{00000000-0005-0000-0000-000045150000}"/>
    <cellStyle name="Accent4 41 2" xfId="5446" xr:uid="{00000000-0005-0000-0000-000046150000}"/>
    <cellStyle name="Accent4 41 2 2" xfId="5447" xr:uid="{00000000-0005-0000-0000-000047150000}"/>
    <cellStyle name="Accent4 41 3" xfId="5448" xr:uid="{00000000-0005-0000-0000-000048150000}"/>
    <cellStyle name="Accent4 42" xfId="5449" xr:uid="{00000000-0005-0000-0000-000049150000}"/>
    <cellStyle name="Accent4 42 2" xfId="5450" xr:uid="{00000000-0005-0000-0000-00004A150000}"/>
    <cellStyle name="Accent4 42 2 2" xfId="5451" xr:uid="{00000000-0005-0000-0000-00004B150000}"/>
    <cellStyle name="Accent4 42 3" xfId="5452" xr:uid="{00000000-0005-0000-0000-00004C150000}"/>
    <cellStyle name="Accent4 43" xfId="5453" xr:uid="{00000000-0005-0000-0000-00004D150000}"/>
    <cellStyle name="Accent4 43 2" xfId="5454" xr:uid="{00000000-0005-0000-0000-00004E150000}"/>
    <cellStyle name="Accent4 43 2 2" xfId="5455" xr:uid="{00000000-0005-0000-0000-00004F150000}"/>
    <cellStyle name="Accent4 43 3" xfId="5456" xr:uid="{00000000-0005-0000-0000-000050150000}"/>
    <cellStyle name="Accent4 44" xfId="5457" xr:uid="{00000000-0005-0000-0000-000051150000}"/>
    <cellStyle name="Accent4 44 2" xfId="5458" xr:uid="{00000000-0005-0000-0000-000052150000}"/>
    <cellStyle name="Accent4 44 2 2" xfId="5459" xr:uid="{00000000-0005-0000-0000-000053150000}"/>
    <cellStyle name="Accent4 44 3" xfId="5460" xr:uid="{00000000-0005-0000-0000-000054150000}"/>
    <cellStyle name="Accent4 45" xfId="5461" xr:uid="{00000000-0005-0000-0000-000055150000}"/>
    <cellStyle name="Accent4 45 2" xfId="5462" xr:uid="{00000000-0005-0000-0000-000056150000}"/>
    <cellStyle name="Accent4 45 2 2" xfId="5463" xr:uid="{00000000-0005-0000-0000-000057150000}"/>
    <cellStyle name="Accent4 45 3" xfId="5464" xr:uid="{00000000-0005-0000-0000-000058150000}"/>
    <cellStyle name="Accent4 46" xfId="5465" xr:uid="{00000000-0005-0000-0000-000059150000}"/>
    <cellStyle name="Accent4 46 2" xfId="5466" xr:uid="{00000000-0005-0000-0000-00005A150000}"/>
    <cellStyle name="Accent4 46 2 2" xfId="5467" xr:uid="{00000000-0005-0000-0000-00005B150000}"/>
    <cellStyle name="Accent4 46 3" xfId="5468" xr:uid="{00000000-0005-0000-0000-00005C150000}"/>
    <cellStyle name="Accent4 47" xfId="5469" xr:uid="{00000000-0005-0000-0000-00005D150000}"/>
    <cellStyle name="Accent4 47 2" xfId="5470" xr:uid="{00000000-0005-0000-0000-00005E150000}"/>
    <cellStyle name="Accent4 47 2 2" xfId="5471" xr:uid="{00000000-0005-0000-0000-00005F150000}"/>
    <cellStyle name="Accent4 47 3" xfId="5472" xr:uid="{00000000-0005-0000-0000-000060150000}"/>
    <cellStyle name="Accent4 48" xfId="5473" xr:uid="{00000000-0005-0000-0000-000061150000}"/>
    <cellStyle name="Accent4 48 2" xfId="5474" xr:uid="{00000000-0005-0000-0000-000062150000}"/>
    <cellStyle name="Accent4 48 2 2" xfId="5475" xr:uid="{00000000-0005-0000-0000-000063150000}"/>
    <cellStyle name="Accent4 48 3" xfId="5476" xr:uid="{00000000-0005-0000-0000-000064150000}"/>
    <cellStyle name="Accent4 48 3 2" xfId="5477" xr:uid="{00000000-0005-0000-0000-000065150000}"/>
    <cellStyle name="Accent4 48 3 2 2" xfId="5478" xr:uid="{00000000-0005-0000-0000-000066150000}"/>
    <cellStyle name="Accent4 48 3 3" xfId="5479" xr:uid="{00000000-0005-0000-0000-000067150000}"/>
    <cellStyle name="Accent4 48 4" xfId="5480" xr:uid="{00000000-0005-0000-0000-000068150000}"/>
    <cellStyle name="Accent4 49" xfId="5481" xr:uid="{00000000-0005-0000-0000-000069150000}"/>
    <cellStyle name="Accent4 49 2" xfId="5482" xr:uid="{00000000-0005-0000-0000-00006A150000}"/>
    <cellStyle name="Accent4 49 2 2" xfId="5483" xr:uid="{00000000-0005-0000-0000-00006B150000}"/>
    <cellStyle name="Accent4 49 3" xfId="5484" xr:uid="{00000000-0005-0000-0000-00006C150000}"/>
    <cellStyle name="Accent4 49 3 2" xfId="5485" xr:uid="{00000000-0005-0000-0000-00006D150000}"/>
    <cellStyle name="Accent4 49 3 2 2" xfId="5486" xr:uid="{00000000-0005-0000-0000-00006E150000}"/>
    <cellStyle name="Accent4 49 3 3" xfId="5487" xr:uid="{00000000-0005-0000-0000-00006F150000}"/>
    <cellStyle name="Accent4 49 4" xfId="5488" xr:uid="{00000000-0005-0000-0000-000070150000}"/>
    <cellStyle name="Accent4 5" xfId="5489" xr:uid="{00000000-0005-0000-0000-000071150000}"/>
    <cellStyle name="Accent4 5 2" xfId="5490" xr:uid="{00000000-0005-0000-0000-000072150000}"/>
    <cellStyle name="Accent4 5 2 2" xfId="5491" xr:uid="{00000000-0005-0000-0000-000073150000}"/>
    <cellStyle name="Accent4 5 2 2 2" xfId="5492" xr:uid="{00000000-0005-0000-0000-000074150000}"/>
    <cellStyle name="Accent4 5 2 3" xfId="5493" xr:uid="{00000000-0005-0000-0000-000075150000}"/>
    <cellStyle name="Accent4 5 2 3 2" xfId="5494" xr:uid="{00000000-0005-0000-0000-000076150000}"/>
    <cellStyle name="Accent4 5 2 3 2 2" xfId="5495" xr:uid="{00000000-0005-0000-0000-000077150000}"/>
    <cellStyle name="Accent4 5 2 3 3" xfId="5496" xr:uid="{00000000-0005-0000-0000-000078150000}"/>
    <cellStyle name="Accent4 5 2 4" xfId="5497" xr:uid="{00000000-0005-0000-0000-000079150000}"/>
    <cellStyle name="Accent4 5 3" xfId="5498" xr:uid="{00000000-0005-0000-0000-00007A150000}"/>
    <cellStyle name="Accent4 5 3 2" xfId="5499" xr:uid="{00000000-0005-0000-0000-00007B150000}"/>
    <cellStyle name="Accent4 5 3 2 2" xfId="5500" xr:uid="{00000000-0005-0000-0000-00007C150000}"/>
    <cellStyle name="Accent4 5 3 3" xfId="5501" xr:uid="{00000000-0005-0000-0000-00007D150000}"/>
    <cellStyle name="Accent4 5 3 3 2" xfId="5502" xr:uid="{00000000-0005-0000-0000-00007E150000}"/>
    <cellStyle name="Accent4 5 3 3 2 2" xfId="5503" xr:uid="{00000000-0005-0000-0000-00007F150000}"/>
    <cellStyle name="Accent4 5 3 3 3" xfId="5504" xr:uid="{00000000-0005-0000-0000-000080150000}"/>
    <cellStyle name="Accent4 5 3 4" xfId="5505" xr:uid="{00000000-0005-0000-0000-000081150000}"/>
    <cellStyle name="Accent4 5 4" xfId="5506" xr:uid="{00000000-0005-0000-0000-000082150000}"/>
    <cellStyle name="Accent4 5 4 2" xfId="5507" xr:uid="{00000000-0005-0000-0000-000083150000}"/>
    <cellStyle name="Accent4 5 5" xfId="5508" xr:uid="{00000000-0005-0000-0000-000084150000}"/>
    <cellStyle name="Accent4 5 5 2" xfId="5509" xr:uid="{00000000-0005-0000-0000-000085150000}"/>
    <cellStyle name="Accent4 5 5 2 2" xfId="5510" xr:uid="{00000000-0005-0000-0000-000086150000}"/>
    <cellStyle name="Accent4 5 5 3" xfId="5511" xr:uid="{00000000-0005-0000-0000-000087150000}"/>
    <cellStyle name="Accent4 5 6" xfId="5512" xr:uid="{00000000-0005-0000-0000-000088150000}"/>
    <cellStyle name="Accent4 5 6 2" xfId="5513" xr:uid="{00000000-0005-0000-0000-000089150000}"/>
    <cellStyle name="Accent4 5 7" xfId="5514" xr:uid="{00000000-0005-0000-0000-00008A150000}"/>
    <cellStyle name="Accent4 50" xfId="5515" xr:uid="{00000000-0005-0000-0000-00008B150000}"/>
    <cellStyle name="Accent4 50 2" xfId="5516" xr:uid="{00000000-0005-0000-0000-00008C150000}"/>
    <cellStyle name="Accent4 50 2 2" xfId="5517" xr:uid="{00000000-0005-0000-0000-00008D150000}"/>
    <cellStyle name="Accent4 50 3" xfId="5518" xr:uid="{00000000-0005-0000-0000-00008E150000}"/>
    <cellStyle name="Accent4 50 3 2" xfId="5519" xr:uid="{00000000-0005-0000-0000-00008F150000}"/>
    <cellStyle name="Accent4 50 3 2 2" xfId="5520" xr:uid="{00000000-0005-0000-0000-000090150000}"/>
    <cellStyle name="Accent4 50 3 3" xfId="5521" xr:uid="{00000000-0005-0000-0000-000091150000}"/>
    <cellStyle name="Accent4 50 4" xfId="5522" xr:uid="{00000000-0005-0000-0000-000092150000}"/>
    <cellStyle name="Accent4 51" xfId="5523" xr:uid="{00000000-0005-0000-0000-000093150000}"/>
    <cellStyle name="Accent4 51 2" xfId="5524" xr:uid="{00000000-0005-0000-0000-000094150000}"/>
    <cellStyle name="Accent4 51 2 2" xfId="5525" xr:uid="{00000000-0005-0000-0000-000095150000}"/>
    <cellStyle name="Accent4 51 3" xfId="5526" xr:uid="{00000000-0005-0000-0000-000096150000}"/>
    <cellStyle name="Accent4 51 3 2" xfId="5527" xr:uid="{00000000-0005-0000-0000-000097150000}"/>
    <cellStyle name="Accent4 51 3 2 2" xfId="5528" xr:uid="{00000000-0005-0000-0000-000098150000}"/>
    <cellStyle name="Accent4 51 3 3" xfId="5529" xr:uid="{00000000-0005-0000-0000-000099150000}"/>
    <cellStyle name="Accent4 51 4" xfId="5530" xr:uid="{00000000-0005-0000-0000-00009A150000}"/>
    <cellStyle name="Accent4 52" xfId="5531" xr:uid="{00000000-0005-0000-0000-00009B150000}"/>
    <cellStyle name="Accent4 52 2" xfId="5532" xr:uid="{00000000-0005-0000-0000-00009C150000}"/>
    <cellStyle name="Accent4 52 2 2" xfId="5533" xr:uid="{00000000-0005-0000-0000-00009D150000}"/>
    <cellStyle name="Accent4 52 3" xfId="5534" xr:uid="{00000000-0005-0000-0000-00009E150000}"/>
    <cellStyle name="Accent4 53" xfId="5535" xr:uid="{00000000-0005-0000-0000-00009F150000}"/>
    <cellStyle name="Accent4 53 2" xfId="5536" xr:uid="{00000000-0005-0000-0000-0000A0150000}"/>
    <cellStyle name="Accent4 53 2 2" xfId="5537" xr:uid="{00000000-0005-0000-0000-0000A1150000}"/>
    <cellStyle name="Accent4 53 3" xfId="5538" xr:uid="{00000000-0005-0000-0000-0000A2150000}"/>
    <cellStyle name="Accent4 54" xfId="5539" xr:uid="{00000000-0005-0000-0000-0000A3150000}"/>
    <cellStyle name="Accent4 54 2" xfId="5540" xr:uid="{00000000-0005-0000-0000-0000A4150000}"/>
    <cellStyle name="Accent4 54 2 2" xfId="5541" xr:uid="{00000000-0005-0000-0000-0000A5150000}"/>
    <cellStyle name="Accent4 54 3" xfId="5542" xr:uid="{00000000-0005-0000-0000-0000A6150000}"/>
    <cellStyle name="Accent4 55" xfId="5543" xr:uid="{00000000-0005-0000-0000-0000A7150000}"/>
    <cellStyle name="Accent4 55 2" xfId="5544" xr:uid="{00000000-0005-0000-0000-0000A8150000}"/>
    <cellStyle name="Accent4 55 2 2" xfId="5545" xr:uid="{00000000-0005-0000-0000-0000A9150000}"/>
    <cellStyle name="Accent4 55 3" xfId="5546" xr:uid="{00000000-0005-0000-0000-0000AA150000}"/>
    <cellStyle name="Accent4 56" xfId="5547" xr:uid="{00000000-0005-0000-0000-0000AB150000}"/>
    <cellStyle name="Accent4 56 2" xfId="5548" xr:uid="{00000000-0005-0000-0000-0000AC150000}"/>
    <cellStyle name="Accent4 56 2 2" xfId="5549" xr:uid="{00000000-0005-0000-0000-0000AD150000}"/>
    <cellStyle name="Accent4 56 3" xfId="5550" xr:uid="{00000000-0005-0000-0000-0000AE150000}"/>
    <cellStyle name="Accent4 57" xfId="5551" xr:uid="{00000000-0005-0000-0000-0000AF150000}"/>
    <cellStyle name="Accent4 57 2" xfId="5552" xr:uid="{00000000-0005-0000-0000-0000B0150000}"/>
    <cellStyle name="Accent4 57 2 2" xfId="5553" xr:uid="{00000000-0005-0000-0000-0000B1150000}"/>
    <cellStyle name="Accent4 57 3" xfId="5554" xr:uid="{00000000-0005-0000-0000-0000B2150000}"/>
    <cellStyle name="Accent4 58" xfId="5555" xr:uid="{00000000-0005-0000-0000-0000B3150000}"/>
    <cellStyle name="Accent4 58 2" xfId="5556" xr:uid="{00000000-0005-0000-0000-0000B4150000}"/>
    <cellStyle name="Accent4 58 2 2" xfId="5557" xr:uid="{00000000-0005-0000-0000-0000B5150000}"/>
    <cellStyle name="Accent4 58 3" xfId="5558" xr:uid="{00000000-0005-0000-0000-0000B6150000}"/>
    <cellStyle name="Accent4 58 3 2" xfId="5559" xr:uid="{00000000-0005-0000-0000-0000B7150000}"/>
    <cellStyle name="Accent4 58 3 2 2" xfId="5560" xr:uid="{00000000-0005-0000-0000-0000B8150000}"/>
    <cellStyle name="Accent4 58 3 3" xfId="5561" xr:uid="{00000000-0005-0000-0000-0000B9150000}"/>
    <cellStyle name="Accent4 58 4" xfId="5562" xr:uid="{00000000-0005-0000-0000-0000BA150000}"/>
    <cellStyle name="Accent4 59" xfId="5563" xr:uid="{00000000-0005-0000-0000-0000BB150000}"/>
    <cellStyle name="Accent4 59 2" xfId="5564" xr:uid="{00000000-0005-0000-0000-0000BC150000}"/>
    <cellStyle name="Accent4 59 2 2" xfId="5565" xr:uid="{00000000-0005-0000-0000-0000BD150000}"/>
    <cellStyle name="Accent4 59 3" xfId="5566" xr:uid="{00000000-0005-0000-0000-0000BE150000}"/>
    <cellStyle name="Accent4 59 3 2" xfId="5567" xr:uid="{00000000-0005-0000-0000-0000BF150000}"/>
    <cellStyle name="Accent4 59 3 2 2" xfId="5568" xr:uid="{00000000-0005-0000-0000-0000C0150000}"/>
    <cellStyle name="Accent4 59 3 3" xfId="5569" xr:uid="{00000000-0005-0000-0000-0000C1150000}"/>
    <cellStyle name="Accent4 59 4" xfId="5570" xr:uid="{00000000-0005-0000-0000-0000C2150000}"/>
    <cellStyle name="Accent4 6" xfId="5571" xr:uid="{00000000-0005-0000-0000-0000C3150000}"/>
    <cellStyle name="Accent4 6 2" xfId="5572" xr:uid="{00000000-0005-0000-0000-0000C4150000}"/>
    <cellStyle name="Accent4 6 2 2" xfId="5573" xr:uid="{00000000-0005-0000-0000-0000C5150000}"/>
    <cellStyle name="Accent4 6 2 2 2" xfId="5574" xr:uid="{00000000-0005-0000-0000-0000C6150000}"/>
    <cellStyle name="Accent4 6 2 3" xfId="5575" xr:uid="{00000000-0005-0000-0000-0000C7150000}"/>
    <cellStyle name="Accent4 6 2 3 2" xfId="5576" xr:uid="{00000000-0005-0000-0000-0000C8150000}"/>
    <cellStyle name="Accent4 6 2 3 2 2" xfId="5577" xr:uid="{00000000-0005-0000-0000-0000C9150000}"/>
    <cellStyle name="Accent4 6 2 3 3" xfId="5578" xr:uid="{00000000-0005-0000-0000-0000CA150000}"/>
    <cellStyle name="Accent4 6 2 4" xfId="5579" xr:uid="{00000000-0005-0000-0000-0000CB150000}"/>
    <cellStyle name="Accent4 6 3" xfId="5580" xr:uid="{00000000-0005-0000-0000-0000CC150000}"/>
    <cellStyle name="Accent4 6 3 2" xfId="5581" xr:uid="{00000000-0005-0000-0000-0000CD150000}"/>
    <cellStyle name="Accent4 6 4" xfId="5582" xr:uid="{00000000-0005-0000-0000-0000CE150000}"/>
    <cellStyle name="Accent4 6 4 2" xfId="5583" xr:uid="{00000000-0005-0000-0000-0000CF150000}"/>
    <cellStyle name="Accent4 6 4 2 2" xfId="5584" xr:uid="{00000000-0005-0000-0000-0000D0150000}"/>
    <cellStyle name="Accent4 6 4 3" xfId="5585" xr:uid="{00000000-0005-0000-0000-0000D1150000}"/>
    <cellStyle name="Accent4 6 5" xfId="5586" xr:uid="{00000000-0005-0000-0000-0000D2150000}"/>
    <cellStyle name="Accent4 60" xfId="5587" xr:uid="{00000000-0005-0000-0000-0000D3150000}"/>
    <cellStyle name="Accent4 60 2" xfId="5588" xr:uid="{00000000-0005-0000-0000-0000D4150000}"/>
    <cellStyle name="Accent4 60 2 2" xfId="5589" xr:uid="{00000000-0005-0000-0000-0000D5150000}"/>
    <cellStyle name="Accent4 60 3" xfId="5590" xr:uid="{00000000-0005-0000-0000-0000D6150000}"/>
    <cellStyle name="Accent4 60 3 2" xfId="5591" xr:uid="{00000000-0005-0000-0000-0000D7150000}"/>
    <cellStyle name="Accent4 60 3 2 2" xfId="5592" xr:uid="{00000000-0005-0000-0000-0000D8150000}"/>
    <cellStyle name="Accent4 60 3 3" xfId="5593" xr:uid="{00000000-0005-0000-0000-0000D9150000}"/>
    <cellStyle name="Accent4 60 4" xfId="5594" xr:uid="{00000000-0005-0000-0000-0000DA150000}"/>
    <cellStyle name="Accent4 61" xfId="5595" xr:uid="{00000000-0005-0000-0000-0000DB150000}"/>
    <cellStyle name="Accent4 61 2" xfId="5596" xr:uid="{00000000-0005-0000-0000-0000DC150000}"/>
    <cellStyle name="Accent4 61 2 2" xfId="5597" xr:uid="{00000000-0005-0000-0000-0000DD150000}"/>
    <cellStyle name="Accent4 61 3" xfId="5598" xr:uid="{00000000-0005-0000-0000-0000DE150000}"/>
    <cellStyle name="Accent4 61 3 2" xfId="5599" xr:uid="{00000000-0005-0000-0000-0000DF150000}"/>
    <cellStyle name="Accent4 61 3 2 2" xfId="5600" xr:uid="{00000000-0005-0000-0000-0000E0150000}"/>
    <cellStyle name="Accent4 61 3 3" xfId="5601" xr:uid="{00000000-0005-0000-0000-0000E1150000}"/>
    <cellStyle name="Accent4 61 4" xfId="5602" xr:uid="{00000000-0005-0000-0000-0000E2150000}"/>
    <cellStyle name="Accent4 62" xfId="5603" xr:uid="{00000000-0005-0000-0000-0000E3150000}"/>
    <cellStyle name="Accent4 62 2" xfId="5604" xr:uid="{00000000-0005-0000-0000-0000E4150000}"/>
    <cellStyle name="Accent4 62 2 2" xfId="5605" xr:uid="{00000000-0005-0000-0000-0000E5150000}"/>
    <cellStyle name="Accent4 62 3" xfId="5606" xr:uid="{00000000-0005-0000-0000-0000E6150000}"/>
    <cellStyle name="Accent4 62 3 2" xfId="5607" xr:uid="{00000000-0005-0000-0000-0000E7150000}"/>
    <cellStyle name="Accent4 62 3 2 2" xfId="5608" xr:uid="{00000000-0005-0000-0000-0000E8150000}"/>
    <cellStyle name="Accent4 62 3 3" xfId="5609" xr:uid="{00000000-0005-0000-0000-0000E9150000}"/>
    <cellStyle name="Accent4 62 4" xfId="5610" xr:uid="{00000000-0005-0000-0000-0000EA150000}"/>
    <cellStyle name="Accent4 63" xfId="5611" xr:uid="{00000000-0005-0000-0000-0000EB150000}"/>
    <cellStyle name="Accent4 63 2" xfId="5612" xr:uid="{00000000-0005-0000-0000-0000EC150000}"/>
    <cellStyle name="Accent4 63 2 2" xfId="5613" xr:uid="{00000000-0005-0000-0000-0000ED150000}"/>
    <cellStyle name="Accent4 63 3" xfId="5614" xr:uid="{00000000-0005-0000-0000-0000EE150000}"/>
    <cellStyle name="Accent4 63 3 2" xfId="5615" xr:uid="{00000000-0005-0000-0000-0000EF150000}"/>
    <cellStyle name="Accent4 63 3 2 2" xfId="5616" xr:uid="{00000000-0005-0000-0000-0000F0150000}"/>
    <cellStyle name="Accent4 63 3 3" xfId="5617" xr:uid="{00000000-0005-0000-0000-0000F1150000}"/>
    <cellStyle name="Accent4 63 4" xfId="5618" xr:uid="{00000000-0005-0000-0000-0000F2150000}"/>
    <cellStyle name="Accent4 64" xfId="5619" xr:uid="{00000000-0005-0000-0000-0000F3150000}"/>
    <cellStyle name="Accent4 64 2" xfId="5620" xr:uid="{00000000-0005-0000-0000-0000F4150000}"/>
    <cellStyle name="Accent4 64 2 2" xfId="5621" xr:uid="{00000000-0005-0000-0000-0000F5150000}"/>
    <cellStyle name="Accent4 64 3" xfId="5622" xr:uid="{00000000-0005-0000-0000-0000F6150000}"/>
    <cellStyle name="Accent4 64 3 2" xfId="5623" xr:uid="{00000000-0005-0000-0000-0000F7150000}"/>
    <cellStyle name="Accent4 64 3 2 2" xfId="5624" xr:uid="{00000000-0005-0000-0000-0000F8150000}"/>
    <cellStyle name="Accent4 64 3 3" xfId="5625" xr:uid="{00000000-0005-0000-0000-0000F9150000}"/>
    <cellStyle name="Accent4 64 4" xfId="5626" xr:uid="{00000000-0005-0000-0000-0000FA150000}"/>
    <cellStyle name="Accent4 65" xfId="5627" xr:uid="{00000000-0005-0000-0000-0000FB150000}"/>
    <cellStyle name="Accent4 65 2" xfId="5628" xr:uid="{00000000-0005-0000-0000-0000FC150000}"/>
    <cellStyle name="Accent4 65 2 2" xfId="5629" xr:uid="{00000000-0005-0000-0000-0000FD150000}"/>
    <cellStyle name="Accent4 65 3" xfId="5630" xr:uid="{00000000-0005-0000-0000-0000FE150000}"/>
    <cellStyle name="Accent4 65 3 2" xfId="5631" xr:uid="{00000000-0005-0000-0000-0000FF150000}"/>
    <cellStyle name="Accent4 65 3 2 2" xfId="5632" xr:uid="{00000000-0005-0000-0000-000000160000}"/>
    <cellStyle name="Accent4 65 3 3" xfId="5633" xr:uid="{00000000-0005-0000-0000-000001160000}"/>
    <cellStyle name="Accent4 65 4" xfId="5634" xr:uid="{00000000-0005-0000-0000-000002160000}"/>
    <cellStyle name="Accent4 66" xfId="5635" xr:uid="{00000000-0005-0000-0000-000003160000}"/>
    <cellStyle name="Accent4 66 2" xfId="5636" xr:uid="{00000000-0005-0000-0000-000004160000}"/>
    <cellStyle name="Accent4 66 2 2" xfId="5637" xr:uid="{00000000-0005-0000-0000-000005160000}"/>
    <cellStyle name="Accent4 66 3" xfId="5638" xr:uid="{00000000-0005-0000-0000-000006160000}"/>
    <cellStyle name="Accent4 66 3 2" xfId="5639" xr:uid="{00000000-0005-0000-0000-000007160000}"/>
    <cellStyle name="Accent4 66 3 2 2" xfId="5640" xr:uid="{00000000-0005-0000-0000-000008160000}"/>
    <cellStyle name="Accent4 66 3 3" xfId="5641" xr:uid="{00000000-0005-0000-0000-000009160000}"/>
    <cellStyle name="Accent4 66 4" xfId="5642" xr:uid="{00000000-0005-0000-0000-00000A160000}"/>
    <cellStyle name="Accent4 67" xfId="5643" xr:uid="{00000000-0005-0000-0000-00000B160000}"/>
    <cellStyle name="Accent4 67 2" xfId="5644" xr:uid="{00000000-0005-0000-0000-00000C160000}"/>
    <cellStyle name="Accent4 67 2 2" xfId="5645" xr:uid="{00000000-0005-0000-0000-00000D160000}"/>
    <cellStyle name="Accent4 67 3" xfId="5646" xr:uid="{00000000-0005-0000-0000-00000E160000}"/>
    <cellStyle name="Accent4 67 3 2" xfId="5647" xr:uid="{00000000-0005-0000-0000-00000F160000}"/>
    <cellStyle name="Accent4 67 3 2 2" xfId="5648" xr:uid="{00000000-0005-0000-0000-000010160000}"/>
    <cellStyle name="Accent4 67 3 3" xfId="5649" xr:uid="{00000000-0005-0000-0000-000011160000}"/>
    <cellStyle name="Accent4 67 4" xfId="5650" xr:uid="{00000000-0005-0000-0000-000012160000}"/>
    <cellStyle name="Accent4 68" xfId="5651" xr:uid="{00000000-0005-0000-0000-000013160000}"/>
    <cellStyle name="Accent4 68 2" xfId="5652" xr:uid="{00000000-0005-0000-0000-000014160000}"/>
    <cellStyle name="Accent4 68 2 2" xfId="5653" xr:uid="{00000000-0005-0000-0000-000015160000}"/>
    <cellStyle name="Accent4 68 3" xfId="5654" xr:uid="{00000000-0005-0000-0000-000016160000}"/>
    <cellStyle name="Accent4 68 3 2" xfId="5655" xr:uid="{00000000-0005-0000-0000-000017160000}"/>
    <cellStyle name="Accent4 68 3 2 2" xfId="5656" xr:uid="{00000000-0005-0000-0000-000018160000}"/>
    <cellStyle name="Accent4 68 3 3" xfId="5657" xr:uid="{00000000-0005-0000-0000-000019160000}"/>
    <cellStyle name="Accent4 68 4" xfId="5658" xr:uid="{00000000-0005-0000-0000-00001A160000}"/>
    <cellStyle name="Accent4 69" xfId="5659" xr:uid="{00000000-0005-0000-0000-00001B160000}"/>
    <cellStyle name="Accent4 69 2" xfId="5660" xr:uid="{00000000-0005-0000-0000-00001C160000}"/>
    <cellStyle name="Accent4 69 2 2" xfId="5661" xr:uid="{00000000-0005-0000-0000-00001D160000}"/>
    <cellStyle name="Accent4 69 3" xfId="5662" xr:uid="{00000000-0005-0000-0000-00001E160000}"/>
    <cellStyle name="Accent4 69 3 2" xfId="5663" xr:uid="{00000000-0005-0000-0000-00001F160000}"/>
    <cellStyle name="Accent4 69 3 2 2" xfId="5664" xr:uid="{00000000-0005-0000-0000-000020160000}"/>
    <cellStyle name="Accent4 69 3 3" xfId="5665" xr:uid="{00000000-0005-0000-0000-000021160000}"/>
    <cellStyle name="Accent4 69 4" xfId="5666" xr:uid="{00000000-0005-0000-0000-000022160000}"/>
    <cellStyle name="Accent4 7" xfId="5667" xr:uid="{00000000-0005-0000-0000-000023160000}"/>
    <cellStyle name="Accent4 7 2" xfId="5668" xr:uid="{00000000-0005-0000-0000-000024160000}"/>
    <cellStyle name="Accent4 7 2 2" xfId="5669" xr:uid="{00000000-0005-0000-0000-000025160000}"/>
    <cellStyle name="Accent4 7 2 2 2" xfId="5670" xr:uid="{00000000-0005-0000-0000-000026160000}"/>
    <cellStyle name="Accent4 7 2 3" xfId="5671" xr:uid="{00000000-0005-0000-0000-000027160000}"/>
    <cellStyle name="Accent4 7 2 3 2" xfId="5672" xr:uid="{00000000-0005-0000-0000-000028160000}"/>
    <cellStyle name="Accent4 7 2 3 2 2" xfId="5673" xr:uid="{00000000-0005-0000-0000-000029160000}"/>
    <cellStyle name="Accent4 7 2 3 3" xfId="5674" xr:uid="{00000000-0005-0000-0000-00002A160000}"/>
    <cellStyle name="Accent4 7 2 4" xfId="5675" xr:uid="{00000000-0005-0000-0000-00002B160000}"/>
    <cellStyle name="Accent4 7 3" xfId="5676" xr:uid="{00000000-0005-0000-0000-00002C160000}"/>
    <cellStyle name="Accent4 7 3 2" xfId="5677" xr:uid="{00000000-0005-0000-0000-00002D160000}"/>
    <cellStyle name="Accent4 7 4" xfId="5678" xr:uid="{00000000-0005-0000-0000-00002E160000}"/>
    <cellStyle name="Accent4 7 4 2" xfId="5679" xr:uid="{00000000-0005-0000-0000-00002F160000}"/>
    <cellStyle name="Accent4 7 4 2 2" xfId="5680" xr:uid="{00000000-0005-0000-0000-000030160000}"/>
    <cellStyle name="Accent4 7 4 3" xfId="5681" xr:uid="{00000000-0005-0000-0000-000031160000}"/>
    <cellStyle name="Accent4 7 5" xfId="5682" xr:uid="{00000000-0005-0000-0000-000032160000}"/>
    <cellStyle name="Accent4 70" xfId="5683" xr:uid="{00000000-0005-0000-0000-000033160000}"/>
    <cellStyle name="Accent4 70 2" xfId="5684" xr:uid="{00000000-0005-0000-0000-000034160000}"/>
    <cellStyle name="Accent4 70 2 2" xfId="5685" xr:uid="{00000000-0005-0000-0000-000035160000}"/>
    <cellStyle name="Accent4 70 3" xfId="5686" xr:uid="{00000000-0005-0000-0000-000036160000}"/>
    <cellStyle name="Accent4 70 3 2" xfId="5687" xr:uid="{00000000-0005-0000-0000-000037160000}"/>
    <cellStyle name="Accent4 70 3 2 2" xfId="5688" xr:uid="{00000000-0005-0000-0000-000038160000}"/>
    <cellStyle name="Accent4 70 3 3" xfId="5689" xr:uid="{00000000-0005-0000-0000-000039160000}"/>
    <cellStyle name="Accent4 70 4" xfId="5690" xr:uid="{00000000-0005-0000-0000-00003A160000}"/>
    <cellStyle name="Accent4 71" xfId="5691" xr:uid="{00000000-0005-0000-0000-00003B160000}"/>
    <cellStyle name="Accent4 71 2" xfId="5692" xr:uid="{00000000-0005-0000-0000-00003C160000}"/>
    <cellStyle name="Accent4 71 2 2" xfId="5693" xr:uid="{00000000-0005-0000-0000-00003D160000}"/>
    <cellStyle name="Accent4 71 3" xfId="5694" xr:uid="{00000000-0005-0000-0000-00003E160000}"/>
    <cellStyle name="Accent4 71 3 2" xfId="5695" xr:uid="{00000000-0005-0000-0000-00003F160000}"/>
    <cellStyle name="Accent4 71 3 2 2" xfId="5696" xr:uid="{00000000-0005-0000-0000-000040160000}"/>
    <cellStyle name="Accent4 71 3 3" xfId="5697" xr:uid="{00000000-0005-0000-0000-000041160000}"/>
    <cellStyle name="Accent4 71 4" xfId="5698" xr:uid="{00000000-0005-0000-0000-000042160000}"/>
    <cellStyle name="Accent4 72" xfId="5699" xr:uid="{00000000-0005-0000-0000-000043160000}"/>
    <cellStyle name="Accent4 72 2" xfId="5700" xr:uid="{00000000-0005-0000-0000-000044160000}"/>
    <cellStyle name="Accent4 72 2 2" xfId="5701" xr:uid="{00000000-0005-0000-0000-000045160000}"/>
    <cellStyle name="Accent4 72 3" xfId="5702" xr:uid="{00000000-0005-0000-0000-000046160000}"/>
    <cellStyle name="Accent4 72 3 2" xfId="5703" xr:uid="{00000000-0005-0000-0000-000047160000}"/>
    <cellStyle name="Accent4 72 3 2 2" xfId="5704" xr:uid="{00000000-0005-0000-0000-000048160000}"/>
    <cellStyle name="Accent4 72 3 3" xfId="5705" xr:uid="{00000000-0005-0000-0000-000049160000}"/>
    <cellStyle name="Accent4 72 4" xfId="5706" xr:uid="{00000000-0005-0000-0000-00004A160000}"/>
    <cellStyle name="Accent4 73" xfId="5707" xr:uid="{00000000-0005-0000-0000-00004B160000}"/>
    <cellStyle name="Accent4 73 2" xfId="5708" xr:uid="{00000000-0005-0000-0000-00004C160000}"/>
    <cellStyle name="Accent4 73 2 2" xfId="5709" xr:uid="{00000000-0005-0000-0000-00004D160000}"/>
    <cellStyle name="Accent4 73 3" xfId="5710" xr:uid="{00000000-0005-0000-0000-00004E160000}"/>
    <cellStyle name="Accent4 73 3 2" xfId="5711" xr:uid="{00000000-0005-0000-0000-00004F160000}"/>
    <cellStyle name="Accent4 73 3 2 2" xfId="5712" xr:uid="{00000000-0005-0000-0000-000050160000}"/>
    <cellStyle name="Accent4 73 3 3" xfId="5713" xr:uid="{00000000-0005-0000-0000-000051160000}"/>
    <cellStyle name="Accent4 73 4" xfId="5714" xr:uid="{00000000-0005-0000-0000-000052160000}"/>
    <cellStyle name="Accent4 74" xfId="5715" xr:uid="{00000000-0005-0000-0000-000053160000}"/>
    <cellStyle name="Accent4 74 2" xfId="5716" xr:uid="{00000000-0005-0000-0000-000054160000}"/>
    <cellStyle name="Accent4 74 2 2" xfId="5717" xr:uid="{00000000-0005-0000-0000-000055160000}"/>
    <cellStyle name="Accent4 74 3" xfId="5718" xr:uid="{00000000-0005-0000-0000-000056160000}"/>
    <cellStyle name="Accent4 74 3 2" xfId="5719" xr:uid="{00000000-0005-0000-0000-000057160000}"/>
    <cellStyle name="Accent4 74 3 2 2" xfId="5720" xr:uid="{00000000-0005-0000-0000-000058160000}"/>
    <cellStyle name="Accent4 74 3 3" xfId="5721" xr:uid="{00000000-0005-0000-0000-000059160000}"/>
    <cellStyle name="Accent4 74 4" xfId="5722" xr:uid="{00000000-0005-0000-0000-00005A160000}"/>
    <cellStyle name="Accent4 75" xfId="5723" xr:uid="{00000000-0005-0000-0000-00005B160000}"/>
    <cellStyle name="Accent4 75 2" xfId="5724" xr:uid="{00000000-0005-0000-0000-00005C160000}"/>
    <cellStyle name="Accent4 75 2 2" xfId="5725" xr:uid="{00000000-0005-0000-0000-00005D160000}"/>
    <cellStyle name="Accent4 75 3" xfId="5726" xr:uid="{00000000-0005-0000-0000-00005E160000}"/>
    <cellStyle name="Accent4 75 3 2" xfId="5727" xr:uid="{00000000-0005-0000-0000-00005F160000}"/>
    <cellStyle name="Accent4 75 3 2 2" xfId="5728" xr:uid="{00000000-0005-0000-0000-000060160000}"/>
    <cellStyle name="Accent4 75 3 3" xfId="5729" xr:uid="{00000000-0005-0000-0000-000061160000}"/>
    <cellStyle name="Accent4 75 4" xfId="5730" xr:uid="{00000000-0005-0000-0000-000062160000}"/>
    <cellStyle name="Accent4 76" xfId="5731" xr:uid="{00000000-0005-0000-0000-000063160000}"/>
    <cellStyle name="Accent4 76 2" xfId="5732" xr:uid="{00000000-0005-0000-0000-000064160000}"/>
    <cellStyle name="Accent4 76 2 2" xfId="5733" xr:uid="{00000000-0005-0000-0000-000065160000}"/>
    <cellStyle name="Accent4 76 3" xfId="5734" xr:uid="{00000000-0005-0000-0000-000066160000}"/>
    <cellStyle name="Accent4 76 3 2" xfId="5735" xr:uid="{00000000-0005-0000-0000-000067160000}"/>
    <cellStyle name="Accent4 76 3 2 2" xfId="5736" xr:uid="{00000000-0005-0000-0000-000068160000}"/>
    <cellStyle name="Accent4 76 3 3" xfId="5737" xr:uid="{00000000-0005-0000-0000-000069160000}"/>
    <cellStyle name="Accent4 76 4" xfId="5738" xr:uid="{00000000-0005-0000-0000-00006A160000}"/>
    <cellStyle name="Accent4 77" xfId="5739" xr:uid="{00000000-0005-0000-0000-00006B160000}"/>
    <cellStyle name="Accent4 77 2" xfId="5740" xr:uid="{00000000-0005-0000-0000-00006C160000}"/>
    <cellStyle name="Accent4 77 2 2" xfId="5741" xr:uid="{00000000-0005-0000-0000-00006D160000}"/>
    <cellStyle name="Accent4 77 3" xfId="5742" xr:uid="{00000000-0005-0000-0000-00006E160000}"/>
    <cellStyle name="Accent4 77 3 2" xfId="5743" xr:uid="{00000000-0005-0000-0000-00006F160000}"/>
    <cellStyle name="Accent4 77 3 2 2" xfId="5744" xr:uid="{00000000-0005-0000-0000-000070160000}"/>
    <cellStyle name="Accent4 77 3 3" xfId="5745" xr:uid="{00000000-0005-0000-0000-000071160000}"/>
    <cellStyle name="Accent4 77 4" xfId="5746" xr:uid="{00000000-0005-0000-0000-000072160000}"/>
    <cellStyle name="Accent4 78" xfId="5747" xr:uid="{00000000-0005-0000-0000-000073160000}"/>
    <cellStyle name="Accent4 78 2" xfId="5748" xr:uid="{00000000-0005-0000-0000-000074160000}"/>
    <cellStyle name="Accent4 78 2 2" xfId="5749" xr:uid="{00000000-0005-0000-0000-000075160000}"/>
    <cellStyle name="Accent4 78 3" xfId="5750" xr:uid="{00000000-0005-0000-0000-000076160000}"/>
    <cellStyle name="Accent4 78 3 2" xfId="5751" xr:uid="{00000000-0005-0000-0000-000077160000}"/>
    <cellStyle name="Accent4 78 3 2 2" xfId="5752" xr:uid="{00000000-0005-0000-0000-000078160000}"/>
    <cellStyle name="Accent4 78 3 3" xfId="5753" xr:uid="{00000000-0005-0000-0000-000079160000}"/>
    <cellStyle name="Accent4 78 4" xfId="5754" xr:uid="{00000000-0005-0000-0000-00007A160000}"/>
    <cellStyle name="Accent4 79" xfId="5755" xr:uid="{00000000-0005-0000-0000-00007B160000}"/>
    <cellStyle name="Accent4 79 2" xfId="5756" xr:uid="{00000000-0005-0000-0000-00007C160000}"/>
    <cellStyle name="Accent4 79 2 2" xfId="5757" xr:uid="{00000000-0005-0000-0000-00007D160000}"/>
    <cellStyle name="Accent4 79 3" xfId="5758" xr:uid="{00000000-0005-0000-0000-00007E160000}"/>
    <cellStyle name="Accent4 79 3 2" xfId="5759" xr:uid="{00000000-0005-0000-0000-00007F160000}"/>
    <cellStyle name="Accent4 79 3 2 2" xfId="5760" xr:uid="{00000000-0005-0000-0000-000080160000}"/>
    <cellStyle name="Accent4 79 3 3" xfId="5761" xr:uid="{00000000-0005-0000-0000-000081160000}"/>
    <cellStyle name="Accent4 79 4" xfId="5762" xr:uid="{00000000-0005-0000-0000-000082160000}"/>
    <cellStyle name="Accent4 8" xfId="5763" xr:uid="{00000000-0005-0000-0000-000083160000}"/>
    <cellStyle name="Accent4 8 2" xfId="5764" xr:uid="{00000000-0005-0000-0000-000084160000}"/>
    <cellStyle name="Accent4 8 2 2" xfId="5765" xr:uid="{00000000-0005-0000-0000-000085160000}"/>
    <cellStyle name="Accent4 8 3" xfId="5766" xr:uid="{00000000-0005-0000-0000-000086160000}"/>
    <cellStyle name="Accent4 80" xfId="5767" xr:uid="{00000000-0005-0000-0000-000087160000}"/>
    <cellStyle name="Accent4 80 2" xfId="5768" xr:uid="{00000000-0005-0000-0000-000088160000}"/>
    <cellStyle name="Accent4 80 2 2" xfId="5769" xr:uid="{00000000-0005-0000-0000-000089160000}"/>
    <cellStyle name="Accent4 80 3" xfId="5770" xr:uid="{00000000-0005-0000-0000-00008A160000}"/>
    <cellStyle name="Accent4 80 3 2" xfId="5771" xr:uid="{00000000-0005-0000-0000-00008B160000}"/>
    <cellStyle name="Accent4 80 3 2 2" xfId="5772" xr:uid="{00000000-0005-0000-0000-00008C160000}"/>
    <cellStyle name="Accent4 80 3 3" xfId="5773" xr:uid="{00000000-0005-0000-0000-00008D160000}"/>
    <cellStyle name="Accent4 80 4" xfId="5774" xr:uid="{00000000-0005-0000-0000-00008E160000}"/>
    <cellStyle name="Accent4 81" xfId="5775" xr:uid="{00000000-0005-0000-0000-00008F160000}"/>
    <cellStyle name="Accent4 81 2" xfId="5776" xr:uid="{00000000-0005-0000-0000-000090160000}"/>
    <cellStyle name="Accent4 81 2 2" xfId="5777" xr:uid="{00000000-0005-0000-0000-000091160000}"/>
    <cellStyle name="Accent4 81 3" xfId="5778" xr:uid="{00000000-0005-0000-0000-000092160000}"/>
    <cellStyle name="Accent4 81 3 2" xfId="5779" xr:uid="{00000000-0005-0000-0000-000093160000}"/>
    <cellStyle name="Accent4 81 3 2 2" xfId="5780" xr:uid="{00000000-0005-0000-0000-000094160000}"/>
    <cellStyle name="Accent4 81 3 3" xfId="5781" xr:uid="{00000000-0005-0000-0000-000095160000}"/>
    <cellStyle name="Accent4 81 4" xfId="5782" xr:uid="{00000000-0005-0000-0000-000096160000}"/>
    <cellStyle name="Accent4 82" xfId="5783" xr:uid="{00000000-0005-0000-0000-000097160000}"/>
    <cellStyle name="Accent4 82 2" xfId="5784" xr:uid="{00000000-0005-0000-0000-000098160000}"/>
    <cellStyle name="Accent4 82 2 2" xfId="5785" xr:uid="{00000000-0005-0000-0000-000099160000}"/>
    <cellStyle name="Accent4 82 3" xfId="5786" xr:uid="{00000000-0005-0000-0000-00009A160000}"/>
    <cellStyle name="Accent4 82 3 2" xfId="5787" xr:uid="{00000000-0005-0000-0000-00009B160000}"/>
    <cellStyle name="Accent4 82 3 2 2" xfId="5788" xr:uid="{00000000-0005-0000-0000-00009C160000}"/>
    <cellStyle name="Accent4 82 3 3" xfId="5789" xr:uid="{00000000-0005-0000-0000-00009D160000}"/>
    <cellStyle name="Accent4 82 4" xfId="5790" xr:uid="{00000000-0005-0000-0000-00009E160000}"/>
    <cellStyle name="Accent4 83" xfId="5791" xr:uid="{00000000-0005-0000-0000-00009F160000}"/>
    <cellStyle name="Accent4 83 2" xfId="5792" xr:uid="{00000000-0005-0000-0000-0000A0160000}"/>
    <cellStyle name="Accent4 83 2 2" xfId="5793" xr:uid="{00000000-0005-0000-0000-0000A1160000}"/>
    <cellStyle name="Accent4 83 3" xfId="5794" xr:uid="{00000000-0005-0000-0000-0000A2160000}"/>
    <cellStyle name="Accent4 83 3 2" xfId="5795" xr:uid="{00000000-0005-0000-0000-0000A3160000}"/>
    <cellStyle name="Accent4 83 3 2 2" xfId="5796" xr:uid="{00000000-0005-0000-0000-0000A4160000}"/>
    <cellStyle name="Accent4 83 3 3" xfId="5797" xr:uid="{00000000-0005-0000-0000-0000A5160000}"/>
    <cellStyle name="Accent4 83 4" xfId="5798" xr:uid="{00000000-0005-0000-0000-0000A6160000}"/>
    <cellStyle name="Accent4 84" xfId="5799" xr:uid="{00000000-0005-0000-0000-0000A7160000}"/>
    <cellStyle name="Accent4 84 2" xfId="5800" xr:uid="{00000000-0005-0000-0000-0000A8160000}"/>
    <cellStyle name="Accent4 84 2 2" xfId="5801" xr:uid="{00000000-0005-0000-0000-0000A9160000}"/>
    <cellStyle name="Accent4 84 3" xfId="5802" xr:uid="{00000000-0005-0000-0000-0000AA160000}"/>
    <cellStyle name="Accent4 85" xfId="5803" xr:uid="{00000000-0005-0000-0000-0000AB160000}"/>
    <cellStyle name="Accent4 85 2" xfId="5804" xr:uid="{00000000-0005-0000-0000-0000AC160000}"/>
    <cellStyle name="Accent4 85 2 2" xfId="5805" xr:uid="{00000000-0005-0000-0000-0000AD160000}"/>
    <cellStyle name="Accent4 85 3" xfId="5806" xr:uid="{00000000-0005-0000-0000-0000AE160000}"/>
    <cellStyle name="Accent4 86" xfId="5807" xr:uid="{00000000-0005-0000-0000-0000AF160000}"/>
    <cellStyle name="Accent4 86 2" xfId="5808" xr:uid="{00000000-0005-0000-0000-0000B0160000}"/>
    <cellStyle name="Accent4 86 2 2" xfId="5809" xr:uid="{00000000-0005-0000-0000-0000B1160000}"/>
    <cellStyle name="Accent4 86 3" xfId="5810" xr:uid="{00000000-0005-0000-0000-0000B2160000}"/>
    <cellStyle name="Accent4 87" xfId="5811" xr:uid="{00000000-0005-0000-0000-0000B3160000}"/>
    <cellStyle name="Accent4 87 2" xfId="5812" xr:uid="{00000000-0005-0000-0000-0000B4160000}"/>
    <cellStyle name="Accent4 87 2 2" xfId="5813" xr:uid="{00000000-0005-0000-0000-0000B5160000}"/>
    <cellStyle name="Accent4 87 3" xfId="5814" xr:uid="{00000000-0005-0000-0000-0000B6160000}"/>
    <cellStyle name="Accent4 88" xfId="5815" xr:uid="{00000000-0005-0000-0000-0000B7160000}"/>
    <cellStyle name="Accent4 88 2" xfId="5816" xr:uid="{00000000-0005-0000-0000-0000B8160000}"/>
    <cellStyle name="Accent4 88 2 2" xfId="5817" xr:uid="{00000000-0005-0000-0000-0000B9160000}"/>
    <cellStyle name="Accent4 88 3" xfId="5818" xr:uid="{00000000-0005-0000-0000-0000BA160000}"/>
    <cellStyle name="Accent4 89" xfId="5819" xr:uid="{00000000-0005-0000-0000-0000BB160000}"/>
    <cellStyle name="Accent4 89 2" xfId="5820" xr:uid="{00000000-0005-0000-0000-0000BC160000}"/>
    <cellStyle name="Accent4 89 2 2" xfId="5821" xr:uid="{00000000-0005-0000-0000-0000BD160000}"/>
    <cellStyle name="Accent4 89 3" xfId="5822" xr:uid="{00000000-0005-0000-0000-0000BE160000}"/>
    <cellStyle name="Accent4 9" xfId="5823" xr:uid="{00000000-0005-0000-0000-0000BF160000}"/>
    <cellStyle name="Accent4 9 2" xfId="5824" xr:uid="{00000000-0005-0000-0000-0000C0160000}"/>
    <cellStyle name="Accent4 9 2 2" xfId="5825" xr:uid="{00000000-0005-0000-0000-0000C1160000}"/>
    <cellStyle name="Accent4 9 3" xfId="5826" xr:uid="{00000000-0005-0000-0000-0000C2160000}"/>
    <cellStyle name="Accent4 90" xfId="5827" xr:uid="{00000000-0005-0000-0000-0000C3160000}"/>
    <cellStyle name="Accent4 90 2" xfId="5828" xr:uid="{00000000-0005-0000-0000-0000C4160000}"/>
    <cellStyle name="Accent4 90 2 2" xfId="5829" xr:uid="{00000000-0005-0000-0000-0000C5160000}"/>
    <cellStyle name="Accent4 90 3" xfId="5830" xr:uid="{00000000-0005-0000-0000-0000C6160000}"/>
    <cellStyle name="Accent4 91" xfId="5831" xr:uid="{00000000-0005-0000-0000-0000C7160000}"/>
    <cellStyle name="Accent4 91 2" xfId="5832" xr:uid="{00000000-0005-0000-0000-0000C8160000}"/>
    <cellStyle name="Accent4 91 2 2" xfId="5833" xr:uid="{00000000-0005-0000-0000-0000C9160000}"/>
    <cellStyle name="Accent4 91 3" xfId="5834" xr:uid="{00000000-0005-0000-0000-0000CA160000}"/>
    <cellStyle name="Accent4 92" xfId="5835" xr:uid="{00000000-0005-0000-0000-0000CB160000}"/>
    <cellStyle name="Accent4 92 2" xfId="5836" xr:uid="{00000000-0005-0000-0000-0000CC160000}"/>
    <cellStyle name="Accent4 92 2 2" xfId="5837" xr:uid="{00000000-0005-0000-0000-0000CD160000}"/>
    <cellStyle name="Accent4 92 3" xfId="5838" xr:uid="{00000000-0005-0000-0000-0000CE160000}"/>
    <cellStyle name="Accent4 93" xfId="5839" xr:uid="{00000000-0005-0000-0000-0000CF160000}"/>
    <cellStyle name="Accent4 93 2" xfId="5840" xr:uid="{00000000-0005-0000-0000-0000D0160000}"/>
    <cellStyle name="Accent4 93 2 2" xfId="5841" xr:uid="{00000000-0005-0000-0000-0000D1160000}"/>
    <cellStyle name="Accent4 93 3" xfId="5842" xr:uid="{00000000-0005-0000-0000-0000D2160000}"/>
    <cellStyle name="Accent4 94" xfId="5843" xr:uid="{00000000-0005-0000-0000-0000D3160000}"/>
    <cellStyle name="Accent4 94 2" xfId="5844" xr:uid="{00000000-0005-0000-0000-0000D4160000}"/>
    <cellStyle name="Accent4 94 2 2" xfId="5845" xr:uid="{00000000-0005-0000-0000-0000D5160000}"/>
    <cellStyle name="Accent4 94 3" xfId="5846" xr:uid="{00000000-0005-0000-0000-0000D6160000}"/>
    <cellStyle name="Accent4 95" xfId="5847" xr:uid="{00000000-0005-0000-0000-0000D7160000}"/>
    <cellStyle name="Accent4 95 2" xfId="5848" xr:uid="{00000000-0005-0000-0000-0000D8160000}"/>
    <cellStyle name="Accent4 95 2 2" xfId="5849" xr:uid="{00000000-0005-0000-0000-0000D9160000}"/>
    <cellStyle name="Accent4 95 3" xfId="5850" xr:uid="{00000000-0005-0000-0000-0000DA160000}"/>
    <cellStyle name="Accent4 96" xfId="5851" xr:uid="{00000000-0005-0000-0000-0000DB160000}"/>
    <cellStyle name="Accent4 96 2" xfId="5852" xr:uid="{00000000-0005-0000-0000-0000DC160000}"/>
    <cellStyle name="Accent4 96 2 2" xfId="5853" xr:uid="{00000000-0005-0000-0000-0000DD160000}"/>
    <cellStyle name="Accent4 96 3" xfId="5854" xr:uid="{00000000-0005-0000-0000-0000DE160000}"/>
    <cellStyle name="Accent4 97" xfId="5855" xr:uid="{00000000-0005-0000-0000-0000DF160000}"/>
    <cellStyle name="Accent4 97 2" xfId="5856" xr:uid="{00000000-0005-0000-0000-0000E0160000}"/>
    <cellStyle name="Accent4 97 2 2" xfId="5857" xr:uid="{00000000-0005-0000-0000-0000E1160000}"/>
    <cellStyle name="Accent4 97 3" xfId="5858" xr:uid="{00000000-0005-0000-0000-0000E2160000}"/>
    <cellStyle name="Accent4 98" xfId="5859" xr:uid="{00000000-0005-0000-0000-0000E3160000}"/>
    <cellStyle name="Accent4 98 2" xfId="5860" xr:uid="{00000000-0005-0000-0000-0000E4160000}"/>
    <cellStyle name="Accent4 98 2 2" xfId="5861" xr:uid="{00000000-0005-0000-0000-0000E5160000}"/>
    <cellStyle name="Accent4 98 3" xfId="5862" xr:uid="{00000000-0005-0000-0000-0000E6160000}"/>
    <cellStyle name="Accent4 99" xfId="5863" xr:uid="{00000000-0005-0000-0000-0000E7160000}"/>
    <cellStyle name="Accent4 99 2" xfId="5864" xr:uid="{00000000-0005-0000-0000-0000E8160000}"/>
    <cellStyle name="Accent4 99 2 2" xfId="5865" xr:uid="{00000000-0005-0000-0000-0000E9160000}"/>
    <cellStyle name="Accent4 99 3" xfId="5866" xr:uid="{00000000-0005-0000-0000-0000EA160000}"/>
    <cellStyle name="Accent5 - 20%" xfId="5867" xr:uid="{00000000-0005-0000-0000-0000EB160000}"/>
    <cellStyle name="Accent5 - 20% 10" xfId="5868" xr:uid="{00000000-0005-0000-0000-0000EC160000}"/>
    <cellStyle name="Accent5 - 20% 11" xfId="5869" xr:uid="{00000000-0005-0000-0000-0000ED160000}"/>
    <cellStyle name="Accent5 - 20% 2" xfId="5870" xr:uid="{00000000-0005-0000-0000-0000EE160000}"/>
    <cellStyle name="Accent5 - 20% 2 2" xfId="5871" xr:uid="{00000000-0005-0000-0000-0000EF160000}"/>
    <cellStyle name="Accent5 - 20% 2 2 2" xfId="5872" xr:uid="{00000000-0005-0000-0000-0000F0160000}"/>
    <cellStyle name="Accent5 - 20% 2 2 2 2" xfId="5873" xr:uid="{00000000-0005-0000-0000-0000F1160000}"/>
    <cellStyle name="Accent5 - 20% 2 2 3" xfId="5874" xr:uid="{00000000-0005-0000-0000-0000F2160000}"/>
    <cellStyle name="Accent5 - 20% 2 3" xfId="5875" xr:uid="{00000000-0005-0000-0000-0000F3160000}"/>
    <cellStyle name="Accent5 - 20% 2 3 2" xfId="5876" xr:uid="{00000000-0005-0000-0000-0000F4160000}"/>
    <cellStyle name="Accent5 - 20% 2 3 2 2" xfId="5877" xr:uid="{00000000-0005-0000-0000-0000F5160000}"/>
    <cellStyle name="Accent5 - 20% 2 3 2 2 2" xfId="5878" xr:uid="{00000000-0005-0000-0000-0000F6160000}"/>
    <cellStyle name="Accent5 - 20% 2 3 2 3" xfId="5879" xr:uid="{00000000-0005-0000-0000-0000F7160000}"/>
    <cellStyle name="Accent5 - 20% 2 3 3" xfId="5880" xr:uid="{00000000-0005-0000-0000-0000F8160000}"/>
    <cellStyle name="Accent5 - 20% 2 3 3 2" xfId="5881" xr:uid="{00000000-0005-0000-0000-0000F9160000}"/>
    <cellStyle name="Accent5 - 20% 2 3 4" xfId="5882" xr:uid="{00000000-0005-0000-0000-0000FA160000}"/>
    <cellStyle name="Accent5 - 20% 2 4" xfId="5883" xr:uid="{00000000-0005-0000-0000-0000FB160000}"/>
    <cellStyle name="Accent5 - 20% 2 4 2" xfId="5884" xr:uid="{00000000-0005-0000-0000-0000FC160000}"/>
    <cellStyle name="Accent5 - 20% 2 4 2 2" xfId="5885" xr:uid="{00000000-0005-0000-0000-0000FD160000}"/>
    <cellStyle name="Accent5 - 20% 2 4 2 2 2" xfId="5886" xr:uid="{00000000-0005-0000-0000-0000FE160000}"/>
    <cellStyle name="Accent5 - 20% 2 4 2 3" xfId="5887" xr:uid="{00000000-0005-0000-0000-0000FF160000}"/>
    <cellStyle name="Accent5 - 20% 2 4 3" xfId="5888" xr:uid="{00000000-0005-0000-0000-000000170000}"/>
    <cellStyle name="Accent5 - 20% 2 4 3 2" xfId="5889" xr:uid="{00000000-0005-0000-0000-000001170000}"/>
    <cellStyle name="Accent5 - 20% 2 4 4" xfId="5890" xr:uid="{00000000-0005-0000-0000-000002170000}"/>
    <cellStyle name="Accent5 - 20% 2 5" xfId="5891" xr:uid="{00000000-0005-0000-0000-000003170000}"/>
    <cellStyle name="Accent5 - 20% 2 5 2" xfId="5892" xr:uid="{00000000-0005-0000-0000-000004170000}"/>
    <cellStyle name="Accent5 - 20% 2 6" xfId="5893" xr:uid="{00000000-0005-0000-0000-000005170000}"/>
    <cellStyle name="Accent5 - 20% 2 6 2" xfId="5894" xr:uid="{00000000-0005-0000-0000-000006170000}"/>
    <cellStyle name="Accent5 - 20% 2 7" xfId="5895" xr:uid="{00000000-0005-0000-0000-000007170000}"/>
    <cellStyle name="Accent5 - 20% 3" xfId="5896" xr:uid="{00000000-0005-0000-0000-000008170000}"/>
    <cellStyle name="Accent5 - 20% 3 2" xfId="5897" xr:uid="{00000000-0005-0000-0000-000009170000}"/>
    <cellStyle name="Accent5 - 20% 3 2 2" xfId="5898" xr:uid="{00000000-0005-0000-0000-00000A170000}"/>
    <cellStyle name="Accent5 - 20% 3 2 2 2" xfId="5899" xr:uid="{00000000-0005-0000-0000-00000B170000}"/>
    <cellStyle name="Accent5 - 20% 3 2 3" xfId="5900" xr:uid="{00000000-0005-0000-0000-00000C170000}"/>
    <cellStyle name="Accent5 - 20% 3 3" xfId="5901" xr:uid="{00000000-0005-0000-0000-00000D170000}"/>
    <cellStyle name="Accent5 - 20% 3 3 2" xfId="5902" xr:uid="{00000000-0005-0000-0000-00000E170000}"/>
    <cellStyle name="Accent5 - 20% 3 4" xfId="5903" xr:uid="{00000000-0005-0000-0000-00000F170000}"/>
    <cellStyle name="Accent5 - 20% 4" xfId="5904" xr:uid="{00000000-0005-0000-0000-000010170000}"/>
    <cellStyle name="Accent5 - 20% 4 2" xfId="5905" xr:uid="{00000000-0005-0000-0000-000011170000}"/>
    <cellStyle name="Accent5 - 20% 4 2 2" xfId="5906" xr:uid="{00000000-0005-0000-0000-000012170000}"/>
    <cellStyle name="Accent5 - 20% 4 3" xfId="5907" xr:uid="{00000000-0005-0000-0000-000013170000}"/>
    <cellStyle name="Accent5 - 20% 5" xfId="5908" xr:uid="{00000000-0005-0000-0000-000014170000}"/>
    <cellStyle name="Accent5 - 20% 5 2" xfId="5909" xr:uid="{00000000-0005-0000-0000-000015170000}"/>
    <cellStyle name="Accent5 - 20% 5 2 2" xfId="5910" xr:uid="{00000000-0005-0000-0000-000016170000}"/>
    <cellStyle name="Accent5 - 20% 5 3" xfId="5911" xr:uid="{00000000-0005-0000-0000-000017170000}"/>
    <cellStyle name="Accent5 - 20% 6" xfId="5912" xr:uid="{00000000-0005-0000-0000-000018170000}"/>
    <cellStyle name="Accent5 - 20% 6 2" xfId="5913" xr:uid="{00000000-0005-0000-0000-000019170000}"/>
    <cellStyle name="Accent5 - 20% 7" xfId="5914" xr:uid="{00000000-0005-0000-0000-00001A170000}"/>
    <cellStyle name="Accent5 - 20% 7 2" xfId="5915" xr:uid="{00000000-0005-0000-0000-00001B170000}"/>
    <cellStyle name="Accent5 - 20% 8" xfId="5916" xr:uid="{00000000-0005-0000-0000-00001C170000}"/>
    <cellStyle name="Accent5 - 20% 8 2" xfId="5917" xr:uid="{00000000-0005-0000-0000-00001D170000}"/>
    <cellStyle name="Accent5 - 20% 9" xfId="5918" xr:uid="{00000000-0005-0000-0000-00001E170000}"/>
    <cellStyle name="Accent5 - 20% 9 2" xfId="5919" xr:uid="{00000000-0005-0000-0000-00001F170000}"/>
    <cellStyle name="Accent5 - 40%" xfId="5920" xr:uid="{00000000-0005-0000-0000-000020170000}"/>
    <cellStyle name="Accent5 - 40% 2" xfId="5921" xr:uid="{00000000-0005-0000-0000-000021170000}"/>
    <cellStyle name="Accent5 - 40% 2 2" xfId="5922" xr:uid="{00000000-0005-0000-0000-000022170000}"/>
    <cellStyle name="Accent5 - 40% 2 2 2" xfId="5923" xr:uid="{00000000-0005-0000-0000-000023170000}"/>
    <cellStyle name="Accent5 - 40% 2 2 2 2" xfId="5924" xr:uid="{00000000-0005-0000-0000-000024170000}"/>
    <cellStyle name="Accent5 - 40% 2 2 3" xfId="5925" xr:uid="{00000000-0005-0000-0000-000025170000}"/>
    <cellStyle name="Accent5 - 40% 2 3" xfId="5926" xr:uid="{00000000-0005-0000-0000-000026170000}"/>
    <cellStyle name="Accent5 - 40% 2 3 2" xfId="5927" xr:uid="{00000000-0005-0000-0000-000027170000}"/>
    <cellStyle name="Accent5 - 40% 2 3 2 2" xfId="5928" xr:uid="{00000000-0005-0000-0000-000028170000}"/>
    <cellStyle name="Accent5 - 40% 2 3 2 2 2" xfId="5929" xr:uid="{00000000-0005-0000-0000-000029170000}"/>
    <cellStyle name="Accent5 - 40% 2 3 2 3" xfId="5930" xr:uid="{00000000-0005-0000-0000-00002A170000}"/>
    <cellStyle name="Accent5 - 40% 2 3 3" xfId="5931" xr:uid="{00000000-0005-0000-0000-00002B170000}"/>
    <cellStyle name="Accent5 - 40% 2 3 3 2" xfId="5932" xr:uid="{00000000-0005-0000-0000-00002C170000}"/>
    <cellStyle name="Accent5 - 40% 2 3 4" xfId="5933" xr:uid="{00000000-0005-0000-0000-00002D170000}"/>
    <cellStyle name="Accent5 - 40% 2 4" xfId="5934" xr:uid="{00000000-0005-0000-0000-00002E170000}"/>
    <cellStyle name="Accent5 - 40% 2 4 2" xfId="5935" xr:uid="{00000000-0005-0000-0000-00002F170000}"/>
    <cellStyle name="Accent5 - 40% 2 5" xfId="5936" xr:uid="{00000000-0005-0000-0000-000030170000}"/>
    <cellStyle name="Accent5 - 40% 2 5 2" xfId="5937" xr:uid="{00000000-0005-0000-0000-000031170000}"/>
    <cellStyle name="Accent5 - 40% 2 6" xfId="5938" xr:uid="{00000000-0005-0000-0000-000032170000}"/>
    <cellStyle name="Accent5 - 40% 3" xfId="5939" xr:uid="{00000000-0005-0000-0000-000033170000}"/>
    <cellStyle name="Accent5 - 40% 3 2" xfId="5940" xr:uid="{00000000-0005-0000-0000-000034170000}"/>
    <cellStyle name="Accent5 - 40% 3 2 2" xfId="5941" xr:uid="{00000000-0005-0000-0000-000035170000}"/>
    <cellStyle name="Accent5 - 40% 3 2 2 2" xfId="5942" xr:uid="{00000000-0005-0000-0000-000036170000}"/>
    <cellStyle name="Accent5 - 40% 3 2 3" xfId="5943" xr:uid="{00000000-0005-0000-0000-000037170000}"/>
    <cellStyle name="Accent5 - 40% 3 3" xfId="5944" xr:uid="{00000000-0005-0000-0000-000038170000}"/>
    <cellStyle name="Accent5 - 40% 3 3 2" xfId="5945" xr:uid="{00000000-0005-0000-0000-000039170000}"/>
    <cellStyle name="Accent5 - 40% 3 4" xfId="5946" xr:uid="{00000000-0005-0000-0000-00003A170000}"/>
    <cellStyle name="Accent5 - 40% 4" xfId="5947" xr:uid="{00000000-0005-0000-0000-00003B170000}"/>
    <cellStyle name="Accent5 - 40% 4 2" xfId="5948" xr:uid="{00000000-0005-0000-0000-00003C170000}"/>
    <cellStyle name="Accent5 - 40% 4 2 2" xfId="5949" xr:uid="{00000000-0005-0000-0000-00003D170000}"/>
    <cellStyle name="Accent5 - 40% 4 3" xfId="5950" xr:uid="{00000000-0005-0000-0000-00003E170000}"/>
    <cellStyle name="Accent5 - 40% 5" xfId="5951" xr:uid="{00000000-0005-0000-0000-00003F170000}"/>
    <cellStyle name="Accent5 - 40% 5 2" xfId="5952" xr:uid="{00000000-0005-0000-0000-000040170000}"/>
    <cellStyle name="Accent5 - 40% 6" xfId="5953" xr:uid="{00000000-0005-0000-0000-000041170000}"/>
    <cellStyle name="Accent5 - 40% 6 2" xfId="5954" xr:uid="{00000000-0005-0000-0000-000042170000}"/>
    <cellStyle name="Accent5 - 40% 7" xfId="5955" xr:uid="{00000000-0005-0000-0000-000043170000}"/>
    <cellStyle name="Accent5 - 40% 8" xfId="5956" xr:uid="{00000000-0005-0000-0000-000044170000}"/>
    <cellStyle name="Accent5 - 60%" xfId="5957" xr:uid="{00000000-0005-0000-0000-000045170000}"/>
    <cellStyle name="Accent5 - 60% 10" xfId="5958" xr:uid="{00000000-0005-0000-0000-000046170000}"/>
    <cellStyle name="Accent5 - 60% 2" xfId="5959" xr:uid="{00000000-0005-0000-0000-000047170000}"/>
    <cellStyle name="Accent5 - 60% 2 2" xfId="5960" xr:uid="{00000000-0005-0000-0000-000048170000}"/>
    <cellStyle name="Accent5 - 60% 2 2 2" xfId="5961" xr:uid="{00000000-0005-0000-0000-000049170000}"/>
    <cellStyle name="Accent5 - 60% 2 3" xfId="5962" xr:uid="{00000000-0005-0000-0000-00004A170000}"/>
    <cellStyle name="Accent5 - 60% 2 3 2" xfId="5963" xr:uid="{00000000-0005-0000-0000-00004B170000}"/>
    <cellStyle name="Accent5 - 60% 2 3 2 2" xfId="5964" xr:uid="{00000000-0005-0000-0000-00004C170000}"/>
    <cellStyle name="Accent5 - 60% 2 3 3" xfId="5965" xr:uid="{00000000-0005-0000-0000-00004D170000}"/>
    <cellStyle name="Accent5 - 60% 2 4" xfId="5966" xr:uid="{00000000-0005-0000-0000-00004E170000}"/>
    <cellStyle name="Accent5 - 60% 2 4 2" xfId="5967" xr:uid="{00000000-0005-0000-0000-00004F170000}"/>
    <cellStyle name="Accent5 - 60% 2 4 2 2" xfId="5968" xr:uid="{00000000-0005-0000-0000-000050170000}"/>
    <cellStyle name="Accent5 - 60% 2 4 3" xfId="5969" xr:uid="{00000000-0005-0000-0000-000051170000}"/>
    <cellStyle name="Accent5 - 60% 2 5" xfId="5970" xr:uid="{00000000-0005-0000-0000-000052170000}"/>
    <cellStyle name="Accent5 - 60% 3" xfId="5971" xr:uid="{00000000-0005-0000-0000-000053170000}"/>
    <cellStyle name="Accent5 - 60% 3 2" xfId="5972" xr:uid="{00000000-0005-0000-0000-000054170000}"/>
    <cellStyle name="Accent5 - 60% 3 2 2" xfId="5973" xr:uid="{00000000-0005-0000-0000-000055170000}"/>
    <cellStyle name="Accent5 - 60% 3 3" xfId="5974" xr:uid="{00000000-0005-0000-0000-000056170000}"/>
    <cellStyle name="Accent5 - 60% 4" xfId="5975" xr:uid="{00000000-0005-0000-0000-000057170000}"/>
    <cellStyle name="Accent5 - 60% 4 2" xfId="5976" xr:uid="{00000000-0005-0000-0000-000058170000}"/>
    <cellStyle name="Accent5 - 60% 5" xfId="5977" xr:uid="{00000000-0005-0000-0000-000059170000}"/>
    <cellStyle name="Accent5 - 60% 5 2" xfId="5978" xr:uid="{00000000-0005-0000-0000-00005A170000}"/>
    <cellStyle name="Accent5 - 60% 6" xfId="5979" xr:uid="{00000000-0005-0000-0000-00005B170000}"/>
    <cellStyle name="Accent5 - 60% 6 2" xfId="5980" xr:uid="{00000000-0005-0000-0000-00005C170000}"/>
    <cellStyle name="Accent5 - 60% 6 2 2" xfId="5981" xr:uid="{00000000-0005-0000-0000-00005D170000}"/>
    <cellStyle name="Accent5 - 60% 6 3" xfId="5982" xr:uid="{00000000-0005-0000-0000-00005E170000}"/>
    <cellStyle name="Accent5 - 60% 7" xfId="5983" xr:uid="{00000000-0005-0000-0000-00005F170000}"/>
    <cellStyle name="Accent5 - 60% 7 2" xfId="5984" xr:uid="{00000000-0005-0000-0000-000060170000}"/>
    <cellStyle name="Accent5 - 60% 8" xfId="5985" xr:uid="{00000000-0005-0000-0000-000061170000}"/>
    <cellStyle name="Accent5 - 60% 8 2" xfId="5986" xr:uid="{00000000-0005-0000-0000-000062170000}"/>
    <cellStyle name="Accent5 - 60% 9" xfId="5987" xr:uid="{00000000-0005-0000-0000-000063170000}"/>
    <cellStyle name="Accent5 10" xfId="5988" xr:uid="{00000000-0005-0000-0000-000064170000}"/>
    <cellStyle name="Accent5 10 2" xfId="5989" xr:uid="{00000000-0005-0000-0000-000065170000}"/>
    <cellStyle name="Accent5 10 2 2" xfId="5990" xr:uid="{00000000-0005-0000-0000-000066170000}"/>
    <cellStyle name="Accent5 10 3" xfId="5991" xr:uid="{00000000-0005-0000-0000-000067170000}"/>
    <cellStyle name="Accent5 100" xfId="5992" xr:uid="{00000000-0005-0000-0000-000068170000}"/>
    <cellStyle name="Accent5 100 2" xfId="5993" xr:uid="{00000000-0005-0000-0000-000069170000}"/>
    <cellStyle name="Accent5 100 2 2" xfId="5994" xr:uid="{00000000-0005-0000-0000-00006A170000}"/>
    <cellStyle name="Accent5 100 3" xfId="5995" xr:uid="{00000000-0005-0000-0000-00006B170000}"/>
    <cellStyle name="Accent5 101" xfId="5996" xr:uid="{00000000-0005-0000-0000-00006C170000}"/>
    <cellStyle name="Accent5 101 2" xfId="5997" xr:uid="{00000000-0005-0000-0000-00006D170000}"/>
    <cellStyle name="Accent5 101 2 2" xfId="5998" xr:uid="{00000000-0005-0000-0000-00006E170000}"/>
    <cellStyle name="Accent5 101 3" xfId="5999" xr:uid="{00000000-0005-0000-0000-00006F170000}"/>
    <cellStyle name="Accent5 102" xfId="6000" xr:uid="{00000000-0005-0000-0000-000070170000}"/>
    <cellStyle name="Accent5 102 2" xfId="6001" xr:uid="{00000000-0005-0000-0000-000071170000}"/>
    <cellStyle name="Accent5 103" xfId="6002" xr:uid="{00000000-0005-0000-0000-000072170000}"/>
    <cellStyle name="Accent5 103 2" xfId="6003" xr:uid="{00000000-0005-0000-0000-000073170000}"/>
    <cellStyle name="Accent5 104" xfId="6004" xr:uid="{00000000-0005-0000-0000-000074170000}"/>
    <cellStyle name="Accent5 104 2" xfId="6005" xr:uid="{00000000-0005-0000-0000-000075170000}"/>
    <cellStyle name="Accent5 104 2 2" xfId="6006" xr:uid="{00000000-0005-0000-0000-000076170000}"/>
    <cellStyle name="Accent5 104 3" xfId="6007" xr:uid="{00000000-0005-0000-0000-000077170000}"/>
    <cellStyle name="Accent5 105" xfId="6008" xr:uid="{00000000-0005-0000-0000-000078170000}"/>
    <cellStyle name="Accent5 105 2" xfId="6009" xr:uid="{00000000-0005-0000-0000-000079170000}"/>
    <cellStyle name="Accent5 105 2 2" xfId="6010" xr:uid="{00000000-0005-0000-0000-00007A170000}"/>
    <cellStyle name="Accent5 105 3" xfId="6011" xr:uid="{00000000-0005-0000-0000-00007B170000}"/>
    <cellStyle name="Accent5 106" xfId="6012" xr:uid="{00000000-0005-0000-0000-00007C170000}"/>
    <cellStyle name="Accent5 106 2" xfId="6013" xr:uid="{00000000-0005-0000-0000-00007D170000}"/>
    <cellStyle name="Accent5 106 2 2" xfId="6014" xr:uid="{00000000-0005-0000-0000-00007E170000}"/>
    <cellStyle name="Accent5 106 3" xfId="6015" xr:uid="{00000000-0005-0000-0000-00007F170000}"/>
    <cellStyle name="Accent5 107" xfId="6016" xr:uid="{00000000-0005-0000-0000-000080170000}"/>
    <cellStyle name="Accent5 107 2" xfId="6017" xr:uid="{00000000-0005-0000-0000-000081170000}"/>
    <cellStyle name="Accent5 107 2 2" xfId="6018" xr:uid="{00000000-0005-0000-0000-000082170000}"/>
    <cellStyle name="Accent5 107 3" xfId="6019" xr:uid="{00000000-0005-0000-0000-000083170000}"/>
    <cellStyle name="Accent5 108" xfId="6020" xr:uid="{00000000-0005-0000-0000-000084170000}"/>
    <cellStyle name="Accent5 108 2" xfId="6021" xr:uid="{00000000-0005-0000-0000-000085170000}"/>
    <cellStyle name="Accent5 108 2 2" xfId="6022" xr:uid="{00000000-0005-0000-0000-000086170000}"/>
    <cellStyle name="Accent5 108 3" xfId="6023" xr:uid="{00000000-0005-0000-0000-000087170000}"/>
    <cellStyle name="Accent5 109" xfId="6024" xr:uid="{00000000-0005-0000-0000-000088170000}"/>
    <cellStyle name="Accent5 109 2" xfId="6025" xr:uid="{00000000-0005-0000-0000-000089170000}"/>
    <cellStyle name="Accent5 109 2 2" xfId="6026" xr:uid="{00000000-0005-0000-0000-00008A170000}"/>
    <cellStyle name="Accent5 109 3" xfId="6027" xr:uid="{00000000-0005-0000-0000-00008B170000}"/>
    <cellStyle name="Accent5 11" xfId="6028" xr:uid="{00000000-0005-0000-0000-00008C170000}"/>
    <cellStyle name="Accent5 11 2" xfId="6029" xr:uid="{00000000-0005-0000-0000-00008D170000}"/>
    <cellStyle name="Accent5 11 2 2" xfId="6030" xr:uid="{00000000-0005-0000-0000-00008E170000}"/>
    <cellStyle name="Accent5 11 3" xfId="6031" xr:uid="{00000000-0005-0000-0000-00008F170000}"/>
    <cellStyle name="Accent5 110" xfId="6032" xr:uid="{00000000-0005-0000-0000-000090170000}"/>
    <cellStyle name="Accent5 110 2" xfId="6033" xr:uid="{00000000-0005-0000-0000-000091170000}"/>
    <cellStyle name="Accent5 110 2 2" xfId="6034" xr:uid="{00000000-0005-0000-0000-000092170000}"/>
    <cellStyle name="Accent5 110 3" xfId="6035" xr:uid="{00000000-0005-0000-0000-000093170000}"/>
    <cellStyle name="Accent5 111" xfId="6036" xr:uid="{00000000-0005-0000-0000-000094170000}"/>
    <cellStyle name="Accent5 111 2" xfId="6037" xr:uid="{00000000-0005-0000-0000-000095170000}"/>
    <cellStyle name="Accent5 111 2 2" xfId="6038" xr:uid="{00000000-0005-0000-0000-000096170000}"/>
    <cellStyle name="Accent5 111 3" xfId="6039" xr:uid="{00000000-0005-0000-0000-000097170000}"/>
    <cellStyle name="Accent5 112" xfId="6040" xr:uid="{00000000-0005-0000-0000-000098170000}"/>
    <cellStyle name="Accent5 112 2" xfId="6041" xr:uid="{00000000-0005-0000-0000-000099170000}"/>
    <cellStyle name="Accent5 112 2 2" xfId="6042" xr:uid="{00000000-0005-0000-0000-00009A170000}"/>
    <cellStyle name="Accent5 112 3" xfId="6043" xr:uid="{00000000-0005-0000-0000-00009B170000}"/>
    <cellStyle name="Accent5 113" xfId="6044" xr:uid="{00000000-0005-0000-0000-00009C170000}"/>
    <cellStyle name="Accent5 113 2" xfId="6045" xr:uid="{00000000-0005-0000-0000-00009D170000}"/>
    <cellStyle name="Accent5 113 2 2" xfId="6046" xr:uid="{00000000-0005-0000-0000-00009E170000}"/>
    <cellStyle name="Accent5 113 3" xfId="6047" xr:uid="{00000000-0005-0000-0000-00009F170000}"/>
    <cellStyle name="Accent5 114" xfId="6048" xr:uid="{00000000-0005-0000-0000-0000A0170000}"/>
    <cellStyle name="Accent5 114 2" xfId="6049" xr:uid="{00000000-0005-0000-0000-0000A1170000}"/>
    <cellStyle name="Accent5 115" xfId="6050" xr:uid="{00000000-0005-0000-0000-0000A2170000}"/>
    <cellStyle name="Accent5 115 2" xfId="6051" xr:uid="{00000000-0005-0000-0000-0000A3170000}"/>
    <cellStyle name="Accent5 116" xfId="6052" xr:uid="{00000000-0005-0000-0000-0000A4170000}"/>
    <cellStyle name="Accent5 116 2" xfId="6053" xr:uid="{00000000-0005-0000-0000-0000A5170000}"/>
    <cellStyle name="Accent5 117" xfId="6054" xr:uid="{00000000-0005-0000-0000-0000A6170000}"/>
    <cellStyle name="Accent5 117 2" xfId="6055" xr:uid="{00000000-0005-0000-0000-0000A7170000}"/>
    <cellStyle name="Accent5 118" xfId="6056" xr:uid="{00000000-0005-0000-0000-0000A8170000}"/>
    <cellStyle name="Accent5 118 2" xfId="6057" xr:uid="{00000000-0005-0000-0000-0000A9170000}"/>
    <cellStyle name="Accent5 119" xfId="6058" xr:uid="{00000000-0005-0000-0000-0000AA170000}"/>
    <cellStyle name="Accent5 119 2" xfId="6059" xr:uid="{00000000-0005-0000-0000-0000AB170000}"/>
    <cellStyle name="Accent5 12" xfId="6060" xr:uid="{00000000-0005-0000-0000-0000AC170000}"/>
    <cellStyle name="Accent5 12 2" xfId="6061" xr:uid="{00000000-0005-0000-0000-0000AD170000}"/>
    <cellStyle name="Accent5 12 2 2" xfId="6062" xr:uid="{00000000-0005-0000-0000-0000AE170000}"/>
    <cellStyle name="Accent5 12 3" xfId="6063" xr:uid="{00000000-0005-0000-0000-0000AF170000}"/>
    <cellStyle name="Accent5 120" xfId="6064" xr:uid="{00000000-0005-0000-0000-0000B0170000}"/>
    <cellStyle name="Accent5 120 2" xfId="6065" xr:uid="{00000000-0005-0000-0000-0000B1170000}"/>
    <cellStyle name="Accent5 121" xfId="6066" xr:uid="{00000000-0005-0000-0000-0000B2170000}"/>
    <cellStyle name="Accent5 121 2" xfId="6067" xr:uid="{00000000-0005-0000-0000-0000B3170000}"/>
    <cellStyle name="Accent5 122" xfId="6068" xr:uid="{00000000-0005-0000-0000-0000B4170000}"/>
    <cellStyle name="Accent5 122 2" xfId="6069" xr:uid="{00000000-0005-0000-0000-0000B5170000}"/>
    <cellStyle name="Accent5 123" xfId="6070" xr:uid="{00000000-0005-0000-0000-0000B6170000}"/>
    <cellStyle name="Accent5 123 2" xfId="6071" xr:uid="{00000000-0005-0000-0000-0000B7170000}"/>
    <cellStyle name="Accent5 124" xfId="6072" xr:uid="{00000000-0005-0000-0000-0000B8170000}"/>
    <cellStyle name="Accent5 124 2" xfId="6073" xr:uid="{00000000-0005-0000-0000-0000B9170000}"/>
    <cellStyle name="Accent5 125" xfId="6074" xr:uid="{00000000-0005-0000-0000-0000BA170000}"/>
    <cellStyle name="Accent5 125 2" xfId="6075" xr:uid="{00000000-0005-0000-0000-0000BB170000}"/>
    <cellStyle name="Accent5 126" xfId="6076" xr:uid="{00000000-0005-0000-0000-0000BC170000}"/>
    <cellStyle name="Accent5 127" xfId="6077" xr:uid="{00000000-0005-0000-0000-0000BD170000}"/>
    <cellStyle name="Accent5 128" xfId="6078" xr:uid="{00000000-0005-0000-0000-0000BE170000}"/>
    <cellStyle name="Accent5 129" xfId="6079" xr:uid="{00000000-0005-0000-0000-0000BF170000}"/>
    <cellStyle name="Accent5 13" xfId="6080" xr:uid="{00000000-0005-0000-0000-0000C0170000}"/>
    <cellStyle name="Accent5 13 2" xfId="6081" xr:uid="{00000000-0005-0000-0000-0000C1170000}"/>
    <cellStyle name="Accent5 13 2 2" xfId="6082" xr:uid="{00000000-0005-0000-0000-0000C2170000}"/>
    <cellStyle name="Accent5 13 3" xfId="6083" xr:uid="{00000000-0005-0000-0000-0000C3170000}"/>
    <cellStyle name="Accent5 130" xfId="6084" xr:uid="{00000000-0005-0000-0000-0000C4170000}"/>
    <cellStyle name="Accent5 131" xfId="6085" xr:uid="{00000000-0005-0000-0000-0000C5170000}"/>
    <cellStyle name="Accent5 132" xfId="6086" xr:uid="{00000000-0005-0000-0000-0000C6170000}"/>
    <cellStyle name="Accent5 133" xfId="6087" xr:uid="{00000000-0005-0000-0000-0000C7170000}"/>
    <cellStyle name="Accent5 134" xfId="6088" xr:uid="{00000000-0005-0000-0000-0000C8170000}"/>
    <cellStyle name="Accent5 135" xfId="6089" xr:uid="{00000000-0005-0000-0000-0000C9170000}"/>
    <cellStyle name="Accent5 136" xfId="6090" xr:uid="{00000000-0005-0000-0000-0000CA170000}"/>
    <cellStyle name="Accent5 137" xfId="6091" xr:uid="{00000000-0005-0000-0000-0000CB170000}"/>
    <cellStyle name="Accent5 138" xfId="6092" xr:uid="{00000000-0005-0000-0000-0000CC170000}"/>
    <cellStyle name="Accent5 139" xfId="6093" xr:uid="{00000000-0005-0000-0000-0000CD170000}"/>
    <cellStyle name="Accent5 14" xfId="6094" xr:uid="{00000000-0005-0000-0000-0000CE170000}"/>
    <cellStyle name="Accent5 14 2" xfId="6095" xr:uid="{00000000-0005-0000-0000-0000CF170000}"/>
    <cellStyle name="Accent5 14 2 2" xfId="6096" xr:uid="{00000000-0005-0000-0000-0000D0170000}"/>
    <cellStyle name="Accent5 14 3" xfId="6097" xr:uid="{00000000-0005-0000-0000-0000D1170000}"/>
    <cellStyle name="Accent5 140" xfId="6098" xr:uid="{00000000-0005-0000-0000-0000D2170000}"/>
    <cellStyle name="Accent5 141" xfId="6099" xr:uid="{00000000-0005-0000-0000-0000D3170000}"/>
    <cellStyle name="Accent5 142" xfId="6100" xr:uid="{00000000-0005-0000-0000-0000D4170000}"/>
    <cellStyle name="Accent5 143" xfId="6101" xr:uid="{00000000-0005-0000-0000-0000D5170000}"/>
    <cellStyle name="Accent5 144" xfId="6102" xr:uid="{00000000-0005-0000-0000-0000D6170000}"/>
    <cellStyle name="Accent5 145" xfId="6103" xr:uid="{00000000-0005-0000-0000-0000D7170000}"/>
    <cellStyle name="Accent5 146" xfId="6104" xr:uid="{00000000-0005-0000-0000-0000D8170000}"/>
    <cellStyle name="Accent5 147" xfId="6105" xr:uid="{00000000-0005-0000-0000-0000D9170000}"/>
    <cellStyle name="Accent5 148" xfId="6106" xr:uid="{00000000-0005-0000-0000-0000DA170000}"/>
    <cellStyle name="Accent5 149" xfId="6107" xr:uid="{00000000-0005-0000-0000-0000DB170000}"/>
    <cellStyle name="Accent5 15" xfId="6108" xr:uid="{00000000-0005-0000-0000-0000DC170000}"/>
    <cellStyle name="Accent5 15 2" xfId="6109" xr:uid="{00000000-0005-0000-0000-0000DD170000}"/>
    <cellStyle name="Accent5 15 2 2" xfId="6110" xr:uid="{00000000-0005-0000-0000-0000DE170000}"/>
    <cellStyle name="Accent5 15 3" xfId="6111" xr:uid="{00000000-0005-0000-0000-0000DF170000}"/>
    <cellStyle name="Accent5 150" xfId="6112" xr:uid="{00000000-0005-0000-0000-0000E0170000}"/>
    <cellStyle name="Accent5 151" xfId="6113" xr:uid="{00000000-0005-0000-0000-0000E1170000}"/>
    <cellStyle name="Accent5 152" xfId="6114" xr:uid="{00000000-0005-0000-0000-0000E2170000}"/>
    <cellStyle name="Accent5 153" xfId="6115" xr:uid="{00000000-0005-0000-0000-0000E3170000}"/>
    <cellStyle name="Accent5 154" xfId="6116" xr:uid="{00000000-0005-0000-0000-0000E4170000}"/>
    <cellStyle name="Accent5 155" xfId="6117" xr:uid="{00000000-0005-0000-0000-0000E5170000}"/>
    <cellStyle name="Accent5 156" xfId="6118" xr:uid="{00000000-0005-0000-0000-0000E6170000}"/>
    <cellStyle name="Accent5 157" xfId="6119" xr:uid="{00000000-0005-0000-0000-0000E7170000}"/>
    <cellStyle name="Accent5 158" xfId="6120" xr:uid="{00000000-0005-0000-0000-0000E8170000}"/>
    <cellStyle name="Accent5 159" xfId="6121" xr:uid="{00000000-0005-0000-0000-0000E9170000}"/>
    <cellStyle name="Accent5 16" xfId="6122" xr:uid="{00000000-0005-0000-0000-0000EA170000}"/>
    <cellStyle name="Accent5 16 2" xfId="6123" xr:uid="{00000000-0005-0000-0000-0000EB170000}"/>
    <cellStyle name="Accent5 16 2 2" xfId="6124" xr:uid="{00000000-0005-0000-0000-0000EC170000}"/>
    <cellStyle name="Accent5 16 3" xfId="6125" xr:uid="{00000000-0005-0000-0000-0000ED170000}"/>
    <cellStyle name="Accent5 160" xfId="6126" xr:uid="{00000000-0005-0000-0000-0000EE170000}"/>
    <cellStyle name="Accent5 161" xfId="6127" xr:uid="{00000000-0005-0000-0000-0000EF170000}"/>
    <cellStyle name="Accent5 162" xfId="6128" xr:uid="{00000000-0005-0000-0000-0000F0170000}"/>
    <cellStyle name="Accent5 163" xfId="6129" xr:uid="{00000000-0005-0000-0000-0000F1170000}"/>
    <cellStyle name="Accent5 164" xfId="6130" xr:uid="{00000000-0005-0000-0000-0000F2170000}"/>
    <cellStyle name="Accent5 165" xfId="6131" xr:uid="{00000000-0005-0000-0000-0000F3170000}"/>
    <cellStyle name="Accent5 166" xfId="6132" xr:uid="{00000000-0005-0000-0000-0000F4170000}"/>
    <cellStyle name="Accent5 167" xfId="6133" xr:uid="{00000000-0005-0000-0000-0000F5170000}"/>
    <cellStyle name="Accent5 168" xfId="6134" xr:uid="{00000000-0005-0000-0000-0000F6170000}"/>
    <cellStyle name="Accent5 169" xfId="6135" xr:uid="{00000000-0005-0000-0000-0000F7170000}"/>
    <cellStyle name="Accent5 17" xfId="6136" xr:uid="{00000000-0005-0000-0000-0000F8170000}"/>
    <cellStyle name="Accent5 17 2" xfId="6137" xr:uid="{00000000-0005-0000-0000-0000F9170000}"/>
    <cellStyle name="Accent5 17 2 2" xfId="6138" xr:uid="{00000000-0005-0000-0000-0000FA170000}"/>
    <cellStyle name="Accent5 17 3" xfId="6139" xr:uid="{00000000-0005-0000-0000-0000FB170000}"/>
    <cellStyle name="Accent5 170" xfId="6140" xr:uid="{00000000-0005-0000-0000-0000FC170000}"/>
    <cellStyle name="Accent5 171" xfId="6141" xr:uid="{00000000-0005-0000-0000-0000FD170000}"/>
    <cellStyle name="Accent5 172" xfId="6142" xr:uid="{00000000-0005-0000-0000-0000FE170000}"/>
    <cellStyle name="Accent5 173" xfId="6143" xr:uid="{00000000-0005-0000-0000-0000FF170000}"/>
    <cellStyle name="Accent5 174" xfId="6144" xr:uid="{00000000-0005-0000-0000-000000180000}"/>
    <cellStyle name="Accent5 175" xfId="6145" xr:uid="{00000000-0005-0000-0000-000001180000}"/>
    <cellStyle name="Accent5 176" xfId="6146" xr:uid="{00000000-0005-0000-0000-000002180000}"/>
    <cellStyle name="Accent5 177" xfId="6147" xr:uid="{00000000-0005-0000-0000-000003180000}"/>
    <cellStyle name="Accent5 178" xfId="6148" xr:uid="{00000000-0005-0000-0000-000004180000}"/>
    <cellStyle name="Accent5 179" xfId="6149" xr:uid="{00000000-0005-0000-0000-000005180000}"/>
    <cellStyle name="Accent5 18" xfId="6150" xr:uid="{00000000-0005-0000-0000-000006180000}"/>
    <cellStyle name="Accent5 18 2" xfId="6151" xr:uid="{00000000-0005-0000-0000-000007180000}"/>
    <cellStyle name="Accent5 18 2 2" xfId="6152" xr:uid="{00000000-0005-0000-0000-000008180000}"/>
    <cellStyle name="Accent5 18 3" xfId="6153" xr:uid="{00000000-0005-0000-0000-000009180000}"/>
    <cellStyle name="Accent5 19" xfId="6154" xr:uid="{00000000-0005-0000-0000-00000A180000}"/>
    <cellStyle name="Accent5 19 2" xfId="6155" xr:uid="{00000000-0005-0000-0000-00000B180000}"/>
    <cellStyle name="Accent5 19 2 2" xfId="6156" xr:uid="{00000000-0005-0000-0000-00000C180000}"/>
    <cellStyle name="Accent5 19 3" xfId="6157" xr:uid="{00000000-0005-0000-0000-00000D180000}"/>
    <cellStyle name="Accent5 2" xfId="6158" xr:uid="{00000000-0005-0000-0000-00000E180000}"/>
    <cellStyle name="Accent5 2 10" xfId="6159" xr:uid="{00000000-0005-0000-0000-00000F180000}"/>
    <cellStyle name="Accent5 2 10 2" xfId="6160" xr:uid="{00000000-0005-0000-0000-000010180000}"/>
    <cellStyle name="Accent5 2 11" xfId="6161" xr:uid="{00000000-0005-0000-0000-000011180000}"/>
    <cellStyle name="Accent5 2 12" xfId="6162" xr:uid="{00000000-0005-0000-0000-000012180000}"/>
    <cellStyle name="Accent5 2 2" xfId="6163" xr:uid="{00000000-0005-0000-0000-000013180000}"/>
    <cellStyle name="Accent5 2 2 2" xfId="6164" xr:uid="{00000000-0005-0000-0000-000014180000}"/>
    <cellStyle name="Accent5 2 2 2 2" xfId="6165" xr:uid="{00000000-0005-0000-0000-000015180000}"/>
    <cellStyle name="Accent5 2 2 3" xfId="6166" xr:uid="{00000000-0005-0000-0000-000016180000}"/>
    <cellStyle name="Accent5 2 2 3 2" xfId="6167" xr:uid="{00000000-0005-0000-0000-000017180000}"/>
    <cellStyle name="Accent5 2 2 3 2 2" xfId="6168" xr:uid="{00000000-0005-0000-0000-000018180000}"/>
    <cellStyle name="Accent5 2 2 3 3" xfId="6169" xr:uid="{00000000-0005-0000-0000-000019180000}"/>
    <cellStyle name="Accent5 2 2 4" xfId="6170" xr:uid="{00000000-0005-0000-0000-00001A180000}"/>
    <cellStyle name="Accent5 2 2 4 2" xfId="6171" xr:uid="{00000000-0005-0000-0000-00001B180000}"/>
    <cellStyle name="Accent5 2 2 5" xfId="6172" xr:uid="{00000000-0005-0000-0000-00001C180000}"/>
    <cellStyle name="Accent5 2 3" xfId="6173" xr:uid="{00000000-0005-0000-0000-00001D180000}"/>
    <cellStyle name="Accent5 2 3 2" xfId="6174" xr:uid="{00000000-0005-0000-0000-00001E180000}"/>
    <cellStyle name="Accent5 2 3 2 2" xfId="6175" xr:uid="{00000000-0005-0000-0000-00001F180000}"/>
    <cellStyle name="Accent5 2 3 3" xfId="6176" xr:uid="{00000000-0005-0000-0000-000020180000}"/>
    <cellStyle name="Accent5 2 3 3 2" xfId="6177" xr:uid="{00000000-0005-0000-0000-000021180000}"/>
    <cellStyle name="Accent5 2 3 3 2 2" xfId="6178" xr:uid="{00000000-0005-0000-0000-000022180000}"/>
    <cellStyle name="Accent5 2 3 3 3" xfId="6179" xr:uid="{00000000-0005-0000-0000-000023180000}"/>
    <cellStyle name="Accent5 2 3 4" xfId="6180" xr:uid="{00000000-0005-0000-0000-000024180000}"/>
    <cellStyle name="Accent5 2 4" xfId="6181" xr:uid="{00000000-0005-0000-0000-000025180000}"/>
    <cellStyle name="Accent5 2 4 2" xfId="6182" xr:uid="{00000000-0005-0000-0000-000026180000}"/>
    <cellStyle name="Accent5 2 4 2 2" xfId="6183" xr:uid="{00000000-0005-0000-0000-000027180000}"/>
    <cellStyle name="Accent5 2 4 3" xfId="6184" xr:uid="{00000000-0005-0000-0000-000028180000}"/>
    <cellStyle name="Accent5 2 5" xfId="6185" xr:uid="{00000000-0005-0000-0000-000029180000}"/>
    <cellStyle name="Accent5 2 5 2" xfId="6186" xr:uid="{00000000-0005-0000-0000-00002A180000}"/>
    <cellStyle name="Accent5 2 5 2 2" xfId="6187" xr:uid="{00000000-0005-0000-0000-00002B180000}"/>
    <cellStyle name="Accent5 2 5 3" xfId="6188" xr:uid="{00000000-0005-0000-0000-00002C180000}"/>
    <cellStyle name="Accent5 2 5 3 2" xfId="6189" xr:uid="{00000000-0005-0000-0000-00002D180000}"/>
    <cellStyle name="Accent5 2 5 3 2 2" xfId="6190" xr:uid="{00000000-0005-0000-0000-00002E180000}"/>
    <cellStyle name="Accent5 2 5 3 3" xfId="6191" xr:uid="{00000000-0005-0000-0000-00002F180000}"/>
    <cellStyle name="Accent5 2 5 4" xfId="6192" xr:uid="{00000000-0005-0000-0000-000030180000}"/>
    <cellStyle name="Accent5 2 6" xfId="6193" xr:uid="{00000000-0005-0000-0000-000031180000}"/>
    <cellStyle name="Accent5 2 6 2" xfId="6194" xr:uid="{00000000-0005-0000-0000-000032180000}"/>
    <cellStyle name="Accent5 2 6 2 2" xfId="6195" xr:uid="{00000000-0005-0000-0000-000033180000}"/>
    <cellStyle name="Accent5 2 6 3" xfId="6196" xr:uid="{00000000-0005-0000-0000-000034180000}"/>
    <cellStyle name="Accent5 2 6 3 2" xfId="6197" xr:uid="{00000000-0005-0000-0000-000035180000}"/>
    <cellStyle name="Accent5 2 6 4" xfId="6198" xr:uid="{00000000-0005-0000-0000-000036180000}"/>
    <cellStyle name="Accent5 2 7" xfId="6199" xr:uid="{00000000-0005-0000-0000-000037180000}"/>
    <cellStyle name="Accent5 2 7 2" xfId="6200" xr:uid="{00000000-0005-0000-0000-000038180000}"/>
    <cellStyle name="Accent5 2 8" xfId="6201" xr:uid="{00000000-0005-0000-0000-000039180000}"/>
    <cellStyle name="Accent5 2 8 2" xfId="6202" xr:uid="{00000000-0005-0000-0000-00003A180000}"/>
    <cellStyle name="Accent5 2 8 2 2" xfId="6203" xr:uid="{00000000-0005-0000-0000-00003B180000}"/>
    <cellStyle name="Accent5 2 8 3" xfId="6204" xr:uid="{00000000-0005-0000-0000-00003C180000}"/>
    <cellStyle name="Accent5 2 9" xfId="6205" xr:uid="{00000000-0005-0000-0000-00003D180000}"/>
    <cellStyle name="Accent5 2 9 2" xfId="6206" xr:uid="{00000000-0005-0000-0000-00003E180000}"/>
    <cellStyle name="Accent5 2 9 2 2" xfId="6207" xr:uid="{00000000-0005-0000-0000-00003F180000}"/>
    <cellStyle name="Accent5 2 9 3" xfId="6208" xr:uid="{00000000-0005-0000-0000-000040180000}"/>
    <cellStyle name="Accent5 20" xfId="6209" xr:uid="{00000000-0005-0000-0000-000041180000}"/>
    <cellStyle name="Accent5 20 2" xfId="6210" xr:uid="{00000000-0005-0000-0000-000042180000}"/>
    <cellStyle name="Accent5 20 2 2" xfId="6211" xr:uid="{00000000-0005-0000-0000-000043180000}"/>
    <cellStyle name="Accent5 20 3" xfId="6212" xr:uid="{00000000-0005-0000-0000-000044180000}"/>
    <cellStyle name="Accent5 21" xfId="6213" xr:uid="{00000000-0005-0000-0000-000045180000}"/>
    <cellStyle name="Accent5 21 2" xfId="6214" xr:uid="{00000000-0005-0000-0000-000046180000}"/>
    <cellStyle name="Accent5 21 2 2" xfId="6215" xr:uid="{00000000-0005-0000-0000-000047180000}"/>
    <cellStyle name="Accent5 21 3" xfId="6216" xr:uid="{00000000-0005-0000-0000-000048180000}"/>
    <cellStyle name="Accent5 22" xfId="6217" xr:uid="{00000000-0005-0000-0000-000049180000}"/>
    <cellStyle name="Accent5 22 2" xfId="6218" xr:uid="{00000000-0005-0000-0000-00004A180000}"/>
    <cellStyle name="Accent5 22 2 2" xfId="6219" xr:uid="{00000000-0005-0000-0000-00004B180000}"/>
    <cellStyle name="Accent5 22 3" xfId="6220" xr:uid="{00000000-0005-0000-0000-00004C180000}"/>
    <cellStyle name="Accent5 23" xfId="6221" xr:uid="{00000000-0005-0000-0000-00004D180000}"/>
    <cellStyle name="Accent5 23 2" xfId="6222" xr:uid="{00000000-0005-0000-0000-00004E180000}"/>
    <cellStyle name="Accent5 23 2 2" xfId="6223" xr:uid="{00000000-0005-0000-0000-00004F180000}"/>
    <cellStyle name="Accent5 23 3" xfId="6224" xr:uid="{00000000-0005-0000-0000-000050180000}"/>
    <cellStyle name="Accent5 24" xfId="6225" xr:uid="{00000000-0005-0000-0000-000051180000}"/>
    <cellStyle name="Accent5 24 2" xfId="6226" xr:uid="{00000000-0005-0000-0000-000052180000}"/>
    <cellStyle name="Accent5 24 2 2" xfId="6227" xr:uid="{00000000-0005-0000-0000-000053180000}"/>
    <cellStyle name="Accent5 24 3" xfId="6228" xr:uid="{00000000-0005-0000-0000-000054180000}"/>
    <cellStyle name="Accent5 25" xfId="6229" xr:uid="{00000000-0005-0000-0000-000055180000}"/>
    <cellStyle name="Accent5 25 2" xfId="6230" xr:uid="{00000000-0005-0000-0000-000056180000}"/>
    <cellStyle name="Accent5 25 2 2" xfId="6231" xr:uid="{00000000-0005-0000-0000-000057180000}"/>
    <cellStyle name="Accent5 25 3" xfId="6232" xr:uid="{00000000-0005-0000-0000-000058180000}"/>
    <cellStyle name="Accent5 26" xfId="6233" xr:uid="{00000000-0005-0000-0000-000059180000}"/>
    <cellStyle name="Accent5 26 2" xfId="6234" xr:uid="{00000000-0005-0000-0000-00005A180000}"/>
    <cellStyle name="Accent5 26 2 2" xfId="6235" xr:uid="{00000000-0005-0000-0000-00005B180000}"/>
    <cellStyle name="Accent5 26 3" xfId="6236" xr:uid="{00000000-0005-0000-0000-00005C180000}"/>
    <cellStyle name="Accent5 27" xfId="6237" xr:uid="{00000000-0005-0000-0000-00005D180000}"/>
    <cellStyle name="Accent5 27 2" xfId="6238" xr:uid="{00000000-0005-0000-0000-00005E180000}"/>
    <cellStyle name="Accent5 27 2 2" xfId="6239" xr:uid="{00000000-0005-0000-0000-00005F180000}"/>
    <cellStyle name="Accent5 27 3" xfId="6240" xr:uid="{00000000-0005-0000-0000-000060180000}"/>
    <cellStyle name="Accent5 28" xfId="6241" xr:uid="{00000000-0005-0000-0000-000061180000}"/>
    <cellStyle name="Accent5 28 2" xfId="6242" xr:uid="{00000000-0005-0000-0000-000062180000}"/>
    <cellStyle name="Accent5 28 2 2" xfId="6243" xr:uid="{00000000-0005-0000-0000-000063180000}"/>
    <cellStyle name="Accent5 28 3" xfId="6244" xr:uid="{00000000-0005-0000-0000-000064180000}"/>
    <cellStyle name="Accent5 29" xfId="6245" xr:uid="{00000000-0005-0000-0000-000065180000}"/>
    <cellStyle name="Accent5 29 2" xfId="6246" xr:uid="{00000000-0005-0000-0000-000066180000}"/>
    <cellStyle name="Accent5 29 2 2" xfId="6247" xr:uid="{00000000-0005-0000-0000-000067180000}"/>
    <cellStyle name="Accent5 29 3" xfId="6248" xr:uid="{00000000-0005-0000-0000-000068180000}"/>
    <cellStyle name="Accent5 3" xfId="6249" xr:uid="{00000000-0005-0000-0000-000069180000}"/>
    <cellStyle name="Accent5 3 10" xfId="6250" xr:uid="{00000000-0005-0000-0000-00006A180000}"/>
    <cellStyle name="Accent5 3 10 2" xfId="6251" xr:uid="{00000000-0005-0000-0000-00006B180000}"/>
    <cellStyle name="Accent5 3 10 2 2" xfId="6252" xr:uid="{00000000-0005-0000-0000-00006C180000}"/>
    <cellStyle name="Accent5 3 10 3" xfId="6253" xr:uid="{00000000-0005-0000-0000-00006D180000}"/>
    <cellStyle name="Accent5 3 11" xfId="6254" xr:uid="{00000000-0005-0000-0000-00006E180000}"/>
    <cellStyle name="Accent5 3 11 2" xfId="6255" xr:uid="{00000000-0005-0000-0000-00006F180000}"/>
    <cellStyle name="Accent5 3 12" xfId="6256" xr:uid="{00000000-0005-0000-0000-000070180000}"/>
    <cellStyle name="Accent5 3 2" xfId="6257" xr:uid="{00000000-0005-0000-0000-000071180000}"/>
    <cellStyle name="Accent5 3 2 2" xfId="6258" xr:uid="{00000000-0005-0000-0000-000072180000}"/>
    <cellStyle name="Accent5 3 2 2 2" xfId="6259" xr:uid="{00000000-0005-0000-0000-000073180000}"/>
    <cellStyle name="Accent5 3 2 3" xfId="6260" xr:uid="{00000000-0005-0000-0000-000074180000}"/>
    <cellStyle name="Accent5 3 2 3 2" xfId="6261" xr:uid="{00000000-0005-0000-0000-000075180000}"/>
    <cellStyle name="Accent5 3 2 3 2 2" xfId="6262" xr:uid="{00000000-0005-0000-0000-000076180000}"/>
    <cellStyle name="Accent5 3 2 3 3" xfId="6263" xr:uid="{00000000-0005-0000-0000-000077180000}"/>
    <cellStyle name="Accent5 3 2 4" xfId="6264" xr:uid="{00000000-0005-0000-0000-000078180000}"/>
    <cellStyle name="Accent5 3 3" xfId="6265" xr:uid="{00000000-0005-0000-0000-000079180000}"/>
    <cellStyle name="Accent5 3 3 2" xfId="6266" xr:uid="{00000000-0005-0000-0000-00007A180000}"/>
    <cellStyle name="Accent5 3 3 2 2" xfId="6267" xr:uid="{00000000-0005-0000-0000-00007B180000}"/>
    <cellStyle name="Accent5 3 3 3" xfId="6268" xr:uid="{00000000-0005-0000-0000-00007C180000}"/>
    <cellStyle name="Accent5 3 3 3 2" xfId="6269" xr:uid="{00000000-0005-0000-0000-00007D180000}"/>
    <cellStyle name="Accent5 3 3 3 2 2" xfId="6270" xr:uid="{00000000-0005-0000-0000-00007E180000}"/>
    <cellStyle name="Accent5 3 3 3 3" xfId="6271" xr:uid="{00000000-0005-0000-0000-00007F180000}"/>
    <cellStyle name="Accent5 3 3 4" xfId="6272" xr:uid="{00000000-0005-0000-0000-000080180000}"/>
    <cellStyle name="Accent5 3 4" xfId="6273" xr:uid="{00000000-0005-0000-0000-000081180000}"/>
    <cellStyle name="Accent5 3 4 2" xfId="6274" xr:uid="{00000000-0005-0000-0000-000082180000}"/>
    <cellStyle name="Accent5 3 4 2 2" xfId="6275" xr:uid="{00000000-0005-0000-0000-000083180000}"/>
    <cellStyle name="Accent5 3 4 3" xfId="6276" xr:uid="{00000000-0005-0000-0000-000084180000}"/>
    <cellStyle name="Accent5 3 5" xfId="6277" xr:uid="{00000000-0005-0000-0000-000085180000}"/>
    <cellStyle name="Accent5 3 5 2" xfId="6278" xr:uid="{00000000-0005-0000-0000-000086180000}"/>
    <cellStyle name="Accent5 3 5 2 2" xfId="6279" xr:uid="{00000000-0005-0000-0000-000087180000}"/>
    <cellStyle name="Accent5 3 5 3" xfId="6280" xr:uid="{00000000-0005-0000-0000-000088180000}"/>
    <cellStyle name="Accent5 3 5 3 2" xfId="6281" xr:uid="{00000000-0005-0000-0000-000089180000}"/>
    <cellStyle name="Accent5 3 5 3 2 2" xfId="6282" xr:uid="{00000000-0005-0000-0000-00008A180000}"/>
    <cellStyle name="Accent5 3 5 3 3" xfId="6283" xr:uid="{00000000-0005-0000-0000-00008B180000}"/>
    <cellStyle name="Accent5 3 5 4" xfId="6284" xr:uid="{00000000-0005-0000-0000-00008C180000}"/>
    <cellStyle name="Accent5 3 6" xfId="6285" xr:uid="{00000000-0005-0000-0000-00008D180000}"/>
    <cellStyle name="Accent5 3 6 2" xfId="6286" xr:uid="{00000000-0005-0000-0000-00008E180000}"/>
    <cellStyle name="Accent5 3 7" xfId="6287" xr:uid="{00000000-0005-0000-0000-00008F180000}"/>
    <cellStyle name="Accent5 3 7 2" xfId="6288" xr:uid="{00000000-0005-0000-0000-000090180000}"/>
    <cellStyle name="Accent5 3 8" xfId="6289" xr:uid="{00000000-0005-0000-0000-000091180000}"/>
    <cellStyle name="Accent5 3 8 2" xfId="6290" xr:uid="{00000000-0005-0000-0000-000092180000}"/>
    <cellStyle name="Accent5 3 8 2 2" xfId="6291" xr:uid="{00000000-0005-0000-0000-000093180000}"/>
    <cellStyle name="Accent5 3 8 3" xfId="6292" xr:uid="{00000000-0005-0000-0000-000094180000}"/>
    <cellStyle name="Accent5 3 9" xfId="6293" xr:uid="{00000000-0005-0000-0000-000095180000}"/>
    <cellStyle name="Accent5 3 9 2" xfId="6294" xr:uid="{00000000-0005-0000-0000-000096180000}"/>
    <cellStyle name="Accent5 3 9 2 2" xfId="6295" xr:uid="{00000000-0005-0000-0000-000097180000}"/>
    <cellStyle name="Accent5 3 9 3" xfId="6296" xr:uid="{00000000-0005-0000-0000-000098180000}"/>
    <cellStyle name="Accent5 30" xfId="6297" xr:uid="{00000000-0005-0000-0000-000099180000}"/>
    <cellStyle name="Accent5 30 2" xfId="6298" xr:uid="{00000000-0005-0000-0000-00009A180000}"/>
    <cellStyle name="Accent5 30 2 2" xfId="6299" xr:uid="{00000000-0005-0000-0000-00009B180000}"/>
    <cellStyle name="Accent5 30 3" xfId="6300" xr:uid="{00000000-0005-0000-0000-00009C180000}"/>
    <cellStyle name="Accent5 31" xfId="6301" xr:uid="{00000000-0005-0000-0000-00009D180000}"/>
    <cellStyle name="Accent5 31 2" xfId="6302" xr:uid="{00000000-0005-0000-0000-00009E180000}"/>
    <cellStyle name="Accent5 31 2 2" xfId="6303" xr:uid="{00000000-0005-0000-0000-00009F180000}"/>
    <cellStyle name="Accent5 31 3" xfId="6304" xr:uid="{00000000-0005-0000-0000-0000A0180000}"/>
    <cellStyle name="Accent5 32" xfId="6305" xr:uid="{00000000-0005-0000-0000-0000A1180000}"/>
    <cellStyle name="Accent5 32 2" xfId="6306" xr:uid="{00000000-0005-0000-0000-0000A2180000}"/>
    <cellStyle name="Accent5 32 2 2" xfId="6307" xr:uid="{00000000-0005-0000-0000-0000A3180000}"/>
    <cellStyle name="Accent5 32 3" xfId="6308" xr:uid="{00000000-0005-0000-0000-0000A4180000}"/>
    <cellStyle name="Accent5 33" xfId="6309" xr:uid="{00000000-0005-0000-0000-0000A5180000}"/>
    <cellStyle name="Accent5 33 2" xfId="6310" xr:uid="{00000000-0005-0000-0000-0000A6180000}"/>
    <cellStyle name="Accent5 33 2 2" xfId="6311" xr:uid="{00000000-0005-0000-0000-0000A7180000}"/>
    <cellStyle name="Accent5 33 3" xfId="6312" xr:uid="{00000000-0005-0000-0000-0000A8180000}"/>
    <cellStyle name="Accent5 34" xfId="6313" xr:uid="{00000000-0005-0000-0000-0000A9180000}"/>
    <cellStyle name="Accent5 34 2" xfId="6314" xr:uid="{00000000-0005-0000-0000-0000AA180000}"/>
    <cellStyle name="Accent5 34 2 2" xfId="6315" xr:uid="{00000000-0005-0000-0000-0000AB180000}"/>
    <cellStyle name="Accent5 34 3" xfId="6316" xr:uid="{00000000-0005-0000-0000-0000AC180000}"/>
    <cellStyle name="Accent5 35" xfId="6317" xr:uid="{00000000-0005-0000-0000-0000AD180000}"/>
    <cellStyle name="Accent5 35 2" xfId="6318" xr:uid="{00000000-0005-0000-0000-0000AE180000}"/>
    <cellStyle name="Accent5 35 2 2" xfId="6319" xr:uid="{00000000-0005-0000-0000-0000AF180000}"/>
    <cellStyle name="Accent5 35 3" xfId="6320" xr:uid="{00000000-0005-0000-0000-0000B0180000}"/>
    <cellStyle name="Accent5 36" xfId="6321" xr:uid="{00000000-0005-0000-0000-0000B1180000}"/>
    <cellStyle name="Accent5 36 2" xfId="6322" xr:uid="{00000000-0005-0000-0000-0000B2180000}"/>
    <cellStyle name="Accent5 36 2 2" xfId="6323" xr:uid="{00000000-0005-0000-0000-0000B3180000}"/>
    <cellStyle name="Accent5 36 3" xfId="6324" xr:uid="{00000000-0005-0000-0000-0000B4180000}"/>
    <cellStyle name="Accent5 37" xfId="6325" xr:uid="{00000000-0005-0000-0000-0000B5180000}"/>
    <cellStyle name="Accent5 37 2" xfId="6326" xr:uid="{00000000-0005-0000-0000-0000B6180000}"/>
    <cellStyle name="Accent5 37 2 2" xfId="6327" xr:uid="{00000000-0005-0000-0000-0000B7180000}"/>
    <cellStyle name="Accent5 37 3" xfId="6328" xr:uid="{00000000-0005-0000-0000-0000B8180000}"/>
    <cellStyle name="Accent5 38" xfId="6329" xr:uid="{00000000-0005-0000-0000-0000B9180000}"/>
    <cellStyle name="Accent5 38 2" xfId="6330" xr:uid="{00000000-0005-0000-0000-0000BA180000}"/>
    <cellStyle name="Accent5 38 2 2" xfId="6331" xr:uid="{00000000-0005-0000-0000-0000BB180000}"/>
    <cellStyle name="Accent5 38 3" xfId="6332" xr:uid="{00000000-0005-0000-0000-0000BC180000}"/>
    <cellStyle name="Accent5 39" xfId="6333" xr:uid="{00000000-0005-0000-0000-0000BD180000}"/>
    <cellStyle name="Accent5 39 2" xfId="6334" xr:uid="{00000000-0005-0000-0000-0000BE180000}"/>
    <cellStyle name="Accent5 39 2 2" xfId="6335" xr:uid="{00000000-0005-0000-0000-0000BF180000}"/>
    <cellStyle name="Accent5 39 3" xfId="6336" xr:uid="{00000000-0005-0000-0000-0000C0180000}"/>
    <cellStyle name="Accent5 4" xfId="6337" xr:uid="{00000000-0005-0000-0000-0000C1180000}"/>
    <cellStyle name="Accent5 4 2" xfId="6338" xr:uid="{00000000-0005-0000-0000-0000C2180000}"/>
    <cellStyle name="Accent5 4 2 2" xfId="6339" xr:uid="{00000000-0005-0000-0000-0000C3180000}"/>
    <cellStyle name="Accent5 4 2 2 2" xfId="6340" xr:uid="{00000000-0005-0000-0000-0000C4180000}"/>
    <cellStyle name="Accent5 4 2 3" xfId="6341" xr:uid="{00000000-0005-0000-0000-0000C5180000}"/>
    <cellStyle name="Accent5 4 2 3 2" xfId="6342" xr:uid="{00000000-0005-0000-0000-0000C6180000}"/>
    <cellStyle name="Accent5 4 2 3 2 2" xfId="6343" xr:uid="{00000000-0005-0000-0000-0000C7180000}"/>
    <cellStyle name="Accent5 4 2 3 3" xfId="6344" xr:uid="{00000000-0005-0000-0000-0000C8180000}"/>
    <cellStyle name="Accent5 4 2 4" xfId="6345" xr:uid="{00000000-0005-0000-0000-0000C9180000}"/>
    <cellStyle name="Accent5 4 3" xfId="6346" xr:uid="{00000000-0005-0000-0000-0000CA180000}"/>
    <cellStyle name="Accent5 4 3 2" xfId="6347" xr:uid="{00000000-0005-0000-0000-0000CB180000}"/>
    <cellStyle name="Accent5 4 3 2 2" xfId="6348" xr:uid="{00000000-0005-0000-0000-0000CC180000}"/>
    <cellStyle name="Accent5 4 3 3" xfId="6349" xr:uid="{00000000-0005-0000-0000-0000CD180000}"/>
    <cellStyle name="Accent5 4 3 3 2" xfId="6350" xr:uid="{00000000-0005-0000-0000-0000CE180000}"/>
    <cellStyle name="Accent5 4 3 3 2 2" xfId="6351" xr:uid="{00000000-0005-0000-0000-0000CF180000}"/>
    <cellStyle name="Accent5 4 3 3 3" xfId="6352" xr:uid="{00000000-0005-0000-0000-0000D0180000}"/>
    <cellStyle name="Accent5 4 3 4" xfId="6353" xr:uid="{00000000-0005-0000-0000-0000D1180000}"/>
    <cellStyle name="Accent5 4 4" xfId="6354" xr:uid="{00000000-0005-0000-0000-0000D2180000}"/>
    <cellStyle name="Accent5 4 4 2" xfId="6355" xr:uid="{00000000-0005-0000-0000-0000D3180000}"/>
    <cellStyle name="Accent5 4 4 2 2" xfId="6356" xr:uid="{00000000-0005-0000-0000-0000D4180000}"/>
    <cellStyle name="Accent5 4 4 3" xfId="6357" xr:uid="{00000000-0005-0000-0000-0000D5180000}"/>
    <cellStyle name="Accent5 4 5" xfId="6358" xr:uid="{00000000-0005-0000-0000-0000D6180000}"/>
    <cellStyle name="Accent5 4 5 2" xfId="6359" xr:uid="{00000000-0005-0000-0000-0000D7180000}"/>
    <cellStyle name="Accent5 4 6" xfId="6360" xr:uid="{00000000-0005-0000-0000-0000D8180000}"/>
    <cellStyle name="Accent5 4 6 2" xfId="6361" xr:uid="{00000000-0005-0000-0000-0000D9180000}"/>
    <cellStyle name="Accent5 4 6 2 2" xfId="6362" xr:uid="{00000000-0005-0000-0000-0000DA180000}"/>
    <cellStyle name="Accent5 4 6 3" xfId="6363" xr:uid="{00000000-0005-0000-0000-0000DB180000}"/>
    <cellStyle name="Accent5 4 7" xfId="6364" xr:uid="{00000000-0005-0000-0000-0000DC180000}"/>
    <cellStyle name="Accent5 4 7 2" xfId="6365" xr:uid="{00000000-0005-0000-0000-0000DD180000}"/>
    <cellStyle name="Accent5 4 7 2 2" xfId="6366" xr:uid="{00000000-0005-0000-0000-0000DE180000}"/>
    <cellStyle name="Accent5 4 7 3" xfId="6367" xr:uid="{00000000-0005-0000-0000-0000DF180000}"/>
    <cellStyle name="Accent5 4 8" xfId="6368" xr:uid="{00000000-0005-0000-0000-0000E0180000}"/>
    <cellStyle name="Accent5 40" xfId="6369" xr:uid="{00000000-0005-0000-0000-0000E1180000}"/>
    <cellStyle name="Accent5 40 2" xfId="6370" xr:uid="{00000000-0005-0000-0000-0000E2180000}"/>
    <cellStyle name="Accent5 40 2 2" xfId="6371" xr:uid="{00000000-0005-0000-0000-0000E3180000}"/>
    <cellStyle name="Accent5 40 3" xfId="6372" xr:uid="{00000000-0005-0000-0000-0000E4180000}"/>
    <cellStyle name="Accent5 41" xfId="6373" xr:uid="{00000000-0005-0000-0000-0000E5180000}"/>
    <cellStyle name="Accent5 41 2" xfId="6374" xr:uid="{00000000-0005-0000-0000-0000E6180000}"/>
    <cellStyle name="Accent5 41 2 2" xfId="6375" xr:uid="{00000000-0005-0000-0000-0000E7180000}"/>
    <cellStyle name="Accent5 41 3" xfId="6376" xr:uid="{00000000-0005-0000-0000-0000E8180000}"/>
    <cellStyle name="Accent5 42" xfId="6377" xr:uid="{00000000-0005-0000-0000-0000E9180000}"/>
    <cellStyle name="Accent5 42 2" xfId="6378" xr:uid="{00000000-0005-0000-0000-0000EA180000}"/>
    <cellStyle name="Accent5 42 2 2" xfId="6379" xr:uid="{00000000-0005-0000-0000-0000EB180000}"/>
    <cellStyle name="Accent5 42 3" xfId="6380" xr:uid="{00000000-0005-0000-0000-0000EC180000}"/>
    <cellStyle name="Accent5 43" xfId="6381" xr:uid="{00000000-0005-0000-0000-0000ED180000}"/>
    <cellStyle name="Accent5 43 2" xfId="6382" xr:uid="{00000000-0005-0000-0000-0000EE180000}"/>
    <cellStyle name="Accent5 43 2 2" xfId="6383" xr:uid="{00000000-0005-0000-0000-0000EF180000}"/>
    <cellStyle name="Accent5 43 3" xfId="6384" xr:uid="{00000000-0005-0000-0000-0000F0180000}"/>
    <cellStyle name="Accent5 44" xfId="6385" xr:uid="{00000000-0005-0000-0000-0000F1180000}"/>
    <cellStyle name="Accent5 44 2" xfId="6386" xr:uid="{00000000-0005-0000-0000-0000F2180000}"/>
    <cellStyle name="Accent5 44 2 2" xfId="6387" xr:uid="{00000000-0005-0000-0000-0000F3180000}"/>
    <cellStyle name="Accent5 44 3" xfId="6388" xr:uid="{00000000-0005-0000-0000-0000F4180000}"/>
    <cellStyle name="Accent5 45" xfId="6389" xr:uid="{00000000-0005-0000-0000-0000F5180000}"/>
    <cellStyle name="Accent5 45 2" xfId="6390" xr:uid="{00000000-0005-0000-0000-0000F6180000}"/>
    <cellStyle name="Accent5 45 2 2" xfId="6391" xr:uid="{00000000-0005-0000-0000-0000F7180000}"/>
    <cellStyle name="Accent5 45 3" xfId="6392" xr:uid="{00000000-0005-0000-0000-0000F8180000}"/>
    <cellStyle name="Accent5 46" xfId="6393" xr:uid="{00000000-0005-0000-0000-0000F9180000}"/>
    <cellStyle name="Accent5 46 2" xfId="6394" xr:uid="{00000000-0005-0000-0000-0000FA180000}"/>
    <cellStyle name="Accent5 46 2 2" xfId="6395" xr:uid="{00000000-0005-0000-0000-0000FB180000}"/>
    <cellStyle name="Accent5 46 3" xfId="6396" xr:uid="{00000000-0005-0000-0000-0000FC180000}"/>
    <cellStyle name="Accent5 47" xfId="6397" xr:uid="{00000000-0005-0000-0000-0000FD180000}"/>
    <cellStyle name="Accent5 47 2" xfId="6398" xr:uid="{00000000-0005-0000-0000-0000FE180000}"/>
    <cellStyle name="Accent5 47 2 2" xfId="6399" xr:uid="{00000000-0005-0000-0000-0000FF180000}"/>
    <cellStyle name="Accent5 47 3" xfId="6400" xr:uid="{00000000-0005-0000-0000-000000190000}"/>
    <cellStyle name="Accent5 48" xfId="6401" xr:uid="{00000000-0005-0000-0000-000001190000}"/>
    <cellStyle name="Accent5 48 2" xfId="6402" xr:uid="{00000000-0005-0000-0000-000002190000}"/>
    <cellStyle name="Accent5 48 2 2" xfId="6403" xr:uid="{00000000-0005-0000-0000-000003190000}"/>
    <cellStyle name="Accent5 48 3" xfId="6404" xr:uid="{00000000-0005-0000-0000-000004190000}"/>
    <cellStyle name="Accent5 48 3 2" xfId="6405" xr:uid="{00000000-0005-0000-0000-000005190000}"/>
    <cellStyle name="Accent5 48 3 2 2" xfId="6406" xr:uid="{00000000-0005-0000-0000-000006190000}"/>
    <cellStyle name="Accent5 48 3 3" xfId="6407" xr:uid="{00000000-0005-0000-0000-000007190000}"/>
    <cellStyle name="Accent5 48 4" xfId="6408" xr:uid="{00000000-0005-0000-0000-000008190000}"/>
    <cellStyle name="Accent5 49" xfId="6409" xr:uid="{00000000-0005-0000-0000-000009190000}"/>
    <cellStyle name="Accent5 49 2" xfId="6410" xr:uid="{00000000-0005-0000-0000-00000A190000}"/>
    <cellStyle name="Accent5 49 2 2" xfId="6411" xr:uid="{00000000-0005-0000-0000-00000B190000}"/>
    <cellStyle name="Accent5 49 3" xfId="6412" xr:uid="{00000000-0005-0000-0000-00000C190000}"/>
    <cellStyle name="Accent5 49 3 2" xfId="6413" xr:uid="{00000000-0005-0000-0000-00000D190000}"/>
    <cellStyle name="Accent5 49 3 2 2" xfId="6414" xr:uid="{00000000-0005-0000-0000-00000E190000}"/>
    <cellStyle name="Accent5 49 3 3" xfId="6415" xr:uid="{00000000-0005-0000-0000-00000F190000}"/>
    <cellStyle name="Accent5 49 4" xfId="6416" xr:uid="{00000000-0005-0000-0000-000010190000}"/>
    <cellStyle name="Accent5 5" xfId="6417" xr:uid="{00000000-0005-0000-0000-000011190000}"/>
    <cellStyle name="Accent5 5 2" xfId="6418" xr:uid="{00000000-0005-0000-0000-000012190000}"/>
    <cellStyle name="Accent5 5 2 2" xfId="6419" xr:uid="{00000000-0005-0000-0000-000013190000}"/>
    <cellStyle name="Accent5 5 2 2 2" xfId="6420" xr:uid="{00000000-0005-0000-0000-000014190000}"/>
    <cellStyle name="Accent5 5 2 3" xfId="6421" xr:uid="{00000000-0005-0000-0000-000015190000}"/>
    <cellStyle name="Accent5 5 2 3 2" xfId="6422" xr:uid="{00000000-0005-0000-0000-000016190000}"/>
    <cellStyle name="Accent5 5 2 3 2 2" xfId="6423" xr:uid="{00000000-0005-0000-0000-000017190000}"/>
    <cellStyle name="Accent5 5 2 3 3" xfId="6424" xr:uid="{00000000-0005-0000-0000-000018190000}"/>
    <cellStyle name="Accent5 5 2 4" xfId="6425" xr:uid="{00000000-0005-0000-0000-000019190000}"/>
    <cellStyle name="Accent5 5 3" xfId="6426" xr:uid="{00000000-0005-0000-0000-00001A190000}"/>
    <cellStyle name="Accent5 5 3 2" xfId="6427" xr:uid="{00000000-0005-0000-0000-00001B190000}"/>
    <cellStyle name="Accent5 5 3 2 2" xfId="6428" xr:uid="{00000000-0005-0000-0000-00001C190000}"/>
    <cellStyle name="Accent5 5 3 3" xfId="6429" xr:uid="{00000000-0005-0000-0000-00001D190000}"/>
    <cellStyle name="Accent5 5 3 3 2" xfId="6430" xr:uid="{00000000-0005-0000-0000-00001E190000}"/>
    <cellStyle name="Accent5 5 3 3 2 2" xfId="6431" xr:uid="{00000000-0005-0000-0000-00001F190000}"/>
    <cellStyle name="Accent5 5 3 3 3" xfId="6432" xr:uid="{00000000-0005-0000-0000-000020190000}"/>
    <cellStyle name="Accent5 5 3 4" xfId="6433" xr:uid="{00000000-0005-0000-0000-000021190000}"/>
    <cellStyle name="Accent5 5 4" xfId="6434" xr:uid="{00000000-0005-0000-0000-000022190000}"/>
    <cellStyle name="Accent5 5 4 2" xfId="6435" xr:uid="{00000000-0005-0000-0000-000023190000}"/>
    <cellStyle name="Accent5 5 5" xfId="6436" xr:uid="{00000000-0005-0000-0000-000024190000}"/>
    <cellStyle name="Accent5 5 5 2" xfId="6437" xr:uid="{00000000-0005-0000-0000-000025190000}"/>
    <cellStyle name="Accent5 5 5 2 2" xfId="6438" xr:uid="{00000000-0005-0000-0000-000026190000}"/>
    <cellStyle name="Accent5 5 5 3" xfId="6439" xr:uid="{00000000-0005-0000-0000-000027190000}"/>
    <cellStyle name="Accent5 5 6" xfId="6440" xr:uid="{00000000-0005-0000-0000-000028190000}"/>
    <cellStyle name="Accent5 5 6 2" xfId="6441" xr:uid="{00000000-0005-0000-0000-000029190000}"/>
    <cellStyle name="Accent5 5 7" xfId="6442" xr:uid="{00000000-0005-0000-0000-00002A190000}"/>
    <cellStyle name="Accent5 50" xfId="6443" xr:uid="{00000000-0005-0000-0000-00002B190000}"/>
    <cellStyle name="Accent5 50 2" xfId="6444" xr:uid="{00000000-0005-0000-0000-00002C190000}"/>
    <cellStyle name="Accent5 50 2 2" xfId="6445" xr:uid="{00000000-0005-0000-0000-00002D190000}"/>
    <cellStyle name="Accent5 50 3" xfId="6446" xr:uid="{00000000-0005-0000-0000-00002E190000}"/>
    <cellStyle name="Accent5 50 3 2" xfId="6447" xr:uid="{00000000-0005-0000-0000-00002F190000}"/>
    <cellStyle name="Accent5 50 3 2 2" xfId="6448" xr:uid="{00000000-0005-0000-0000-000030190000}"/>
    <cellStyle name="Accent5 50 3 3" xfId="6449" xr:uid="{00000000-0005-0000-0000-000031190000}"/>
    <cellStyle name="Accent5 50 4" xfId="6450" xr:uid="{00000000-0005-0000-0000-000032190000}"/>
    <cellStyle name="Accent5 51" xfId="6451" xr:uid="{00000000-0005-0000-0000-000033190000}"/>
    <cellStyle name="Accent5 51 2" xfId="6452" xr:uid="{00000000-0005-0000-0000-000034190000}"/>
    <cellStyle name="Accent5 51 2 2" xfId="6453" xr:uid="{00000000-0005-0000-0000-000035190000}"/>
    <cellStyle name="Accent5 51 3" xfId="6454" xr:uid="{00000000-0005-0000-0000-000036190000}"/>
    <cellStyle name="Accent5 51 3 2" xfId="6455" xr:uid="{00000000-0005-0000-0000-000037190000}"/>
    <cellStyle name="Accent5 51 3 2 2" xfId="6456" xr:uid="{00000000-0005-0000-0000-000038190000}"/>
    <cellStyle name="Accent5 51 3 3" xfId="6457" xr:uid="{00000000-0005-0000-0000-000039190000}"/>
    <cellStyle name="Accent5 51 4" xfId="6458" xr:uid="{00000000-0005-0000-0000-00003A190000}"/>
    <cellStyle name="Accent5 52" xfId="6459" xr:uid="{00000000-0005-0000-0000-00003B190000}"/>
    <cellStyle name="Accent5 52 2" xfId="6460" xr:uid="{00000000-0005-0000-0000-00003C190000}"/>
    <cellStyle name="Accent5 52 2 2" xfId="6461" xr:uid="{00000000-0005-0000-0000-00003D190000}"/>
    <cellStyle name="Accent5 52 3" xfId="6462" xr:uid="{00000000-0005-0000-0000-00003E190000}"/>
    <cellStyle name="Accent5 53" xfId="6463" xr:uid="{00000000-0005-0000-0000-00003F190000}"/>
    <cellStyle name="Accent5 53 2" xfId="6464" xr:uid="{00000000-0005-0000-0000-000040190000}"/>
    <cellStyle name="Accent5 53 2 2" xfId="6465" xr:uid="{00000000-0005-0000-0000-000041190000}"/>
    <cellStyle name="Accent5 53 3" xfId="6466" xr:uid="{00000000-0005-0000-0000-000042190000}"/>
    <cellStyle name="Accent5 54" xfId="6467" xr:uid="{00000000-0005-0000-0000-000043190000}"/>
    <cellStyle name="Accent5 54 2" xfId="6468" xr:uid="{00000000-0005-0000-0000-000044190000}"/>
    <cellStyle name="Accent5 54 2 2" xfId="6469" xr:uid="{00000000-0005-0000-0000-000045190000}"/>
    <cellStyle name="Accent5 54 3" xfId="6470" xr:uid="{00000000-0005-0000-0000-000046190000}"/>
    <cellStyle name="Accent5 55" xfId="6471" xr:uid="{00000000-0005-0000-0000-000047190000}"/>
    <cellStyle name="Accent5 55 2" xfId="6472" xr:uid="{00000000-0005-0000-0000-000048190000}"/>
    <cellStyle name="Accent5 55 2 2" xfId="6473" xr:uid="{00000000-0005-0000-0000-000049190000}"/>
    <cellStyle name="Accent5 55 3" xfId="6474" xr:uid="{00000000-0005-0000-0000-00004A190000}"/>
    <cellStyle name="Accent5 56" xfId="6475" xr:uid="{00000000-0005-0000-0000-00004B190000}"/>
    <cellStyle name="Accent5 56 2" xfId="6476" xr:uid="{00000000-0005-0000-0000-00004C190000}"/>
    <cellStyle name="Accent5 56 2 2" xfId="6477" xr:uid="{00000000-0005-0000-0000-00004D190000}"/>
    <cellStyle name="Accent5 56 3" xfId="6478" xr:uid="{00000000-0005-0000-0000-00004E190000}"/>
    <cellStyle name="Accent5 57" xfId="6479" xr:uid="{00000000-0005-0000-0000-00004F190000}"/>
    <cellStyle name="Accent5 57 2" xfId="6480" xr:uid="{00000000-0005-0000-0000-000050190000}"/>
    <cellStyle name="Accent5 57 2 2" xfId="6481" xr:uid="{00000000-0005-0000-0000-000051190000}"/>
    <cellStyle name="Accent5 57 3" xfId="6482" xr:uid="{00000000-0005-0000-0000-000052190000}"/>
    <cellStyle name="Accent5 58" xfId="6483" xr:uid="{00000000-0005-0000-0000-000053190000}"/>
    <cellStyle name="Accent5 58 2" xfId="6484" xr:uid="{00000000-0005-0000-0000-000054190000}"/>
    <cellStyle name="Accent5 58 2 2" xfId="6485" xr:uid="{00000000-0005-0000-0000-000055190000}"/>
    <cellStyle name="Accent5 58 3" xfId="6486" xr:uid="{00000000-0005-0000-0000-000056190000}"/>
    <cellStyle name="Accent5 58 3 2" xfId="6487" xr:uid="{00000000-0005-0000-0000-000057190000}"/>
    <cellStyle name="Accent5 58 3 2 2" xfId="6488" xr:uid="{00000000-0005-0000-0000-000058190000}"/>
    <cellStyle name="Accent5 58 3 3" xfId="6489" xr:uid="{00000000-0005-0000-0000-000059190000}"/>
    <cellStyle name="Accent5 58 4" xfId="6490" xr:uid="{00000000-0005-0000-0000-00005A190000}"/>
    <cellStyle name="Accent5 59" xfId="6491" xr:uid="{00000000-0005-0000-0000-00005B190000}"/>
    <cellStyle name="Accent5 59 2" xfId="6492" xr:uid="{00000000-0005-0000-0000-00005C190000}"/>
    <cellStyle name="Accent5 59 2 2" xfId="6493" xr:uid="{00000000-0005-0000-0000-00005D190000}"/>
    <cellStyle name="Accent5 59 3" xfId="6494" xr:uid="{00000000-0005-0000-0000-00005E190000}"/>
    <cellStyle name="Accent5 59 3 2" xfId="6495" xr:uid="{00000000-0005-0000-0000-00005F190000}"/>
    <cellStyle name="Accent5 59 3 2 2" xfId="6496" xr:uid="{00000000-0005-0000-0000-000060190000}"/>
    <cellStyle name="Accent5 59 3 3" xfId="6497" xr:uid="{00000000-0005-0000-0000-000061190000}"/>
    <cellStyle name="Accent5 59 4" xfId="6498" xr:uid="{00000000-0005-0000-0000-000062190000}"/>
    <cellStyle name="Accent5 6" xfId="6499" xr:uid="{00000000-0005-0000-0000-000063190000}"/>
    <cellStyle name="Accent5 6 2" xfId="6500" xr:uid="{00000000-0005-0000-0000-000064190000}"/>
    <cellStyle name="Accent5 6 2 2" xfId="6501" xr:uid="{00000000-0005-0000-0000-000065190000}"/>
    <cellStyle name="Accent5 6 2 2 2" xfId="6502" xr:uid="{00000000-0005-0000-0000-000066190000}"/>
    <cellStyle name="Accent5 6 2 3" xfId="6503" xr:uid="{00000000-0005-0000-0000-000067190000}"/>
    <cellStyle name="Accent5 6 2 3 2" xfId="6504" xr:uid="{00000000-0005-0000-0000-000068190000}"/>
    <cellStyle name="Accent5 6 2 3 2 2" xfId="6505" xr:uid="{00000000-0005-0000-0000-000069190000}"/>
    <cellStyle name="Accent5 6 2 3 3" xfId="6506" xr:uid="{00000000-0005-0000-0000-00006A190000}"/>
    <cellStyle name="Accent5 6 2 4" xfId="6507" xr:uid="{00000000-0005-0000-0000-00006B190000}"/>
    <cellStyle name="Accent5 6 3" xfId="6508" xr:uid="{00000000-0005-0000-0000-00006C190000}"/>
    <cellStyle name="Accent5 6 3 2" xfId="6509" xr:uid="{00000000-0005-0000-0000-00006D190000}"/>
    <cellStyle name="Accent5 6 4" xfId="6510" xr:uid="{00000000-0005-0000-0000-00006E190000}"/>
    <cellStyle name="Accent5 6 4 2" xfId="6511" xr:uid="{00000000-0005-0000-0000-00006F190000}"/>
    <cellStyle name="Accent5 6 4 2 2" xfId="6512" xr:uid="{00000000-0005-0000-0000-000070190000}"/>
    <cellStyle name="Accent5 6 4 3" xfId="6513" xr:uid="{00000000-0005-0000-0000-000071190000}"/>
    <cellStyle name="Accent5 6 5" xfId="6514" xr:uid="{00000000-0005-0000-0000-000072190000}"/>
    <cellStyle name="Accent5 60" xfId="6515" xr:uid="{00000000-0005-0000-0000-000073190000}"/>
    <cellStyle name="Accent5 60 2" xfId="6516" xr:uid="{00000000-0005-0000-0000-000074190000}"/>
    <cellStyle name="Accent5 60 2 2" xfId="6517" xr:uid="{00000000-0005-0000-0000-000075190000}"/>
    <cellStyle name="Accent5 60 3" xfId="6518" xr:uid="{00000000-0005-0000-0000-000076190000}"/>
    <cellStyle name="Accent5 60 3 2" xfId="6519" xr:uid="{00000000-0005-0000-0000-000077190000}"/>
    <cellStyle name="Accent5 60 3 2 2" xfId="6520" xr:uid="{00000000-0005-0000-0000-000078190000}"/>
    <cellStyle name="Accent5 60 3 3" xfId="6521" xr:uid="{00000000-0005-0000-0000-000079190000}"/>
    <cellStyle name="Accent5 60 4" xfId="6522" xr:uid="{00000000-0005-0000-0000-00007A190000}"/>
    <cellStyle name="Accent5 61" xfId="6523" xr:uid="{00000000-0005-0000-0000-00007B190000}"/>
    <cellStyle name="Accent5 61 2" xfId="6524" xr:uid="{00000000-0005-0000-0000-00007C190000}"/>
    <cellStyle name="Accent5 61 2 2" xfId="6525" xr:uid="{00000000-0005-0000-0000-00007D190000}"/>
    <cellStyle name="Accent5 61 3" xfId="6526" xr:uid="{00000000-0005-0000-0000-00007E190000}"/>
    <cellStyle name="Accent5 61 3 2" xfId="6527" xr:uid="{00000000-0005-0000-0000-00007F190000}"/>
    <cellStyle name="Accent5 61 3 2 2" xfId="6528" xr:uid="{00000000-0005-0000-0000-000080190000}"/>
    <cellStyle name="Accent5 61 3 3" xfId="6529" xr:uid="{00000000-0005-0000-0000-000081190000}"/>
    <cellStyle name="Accent5 61 4" xfId="6530" xr:uid="{00000000-0005-0000-0000-000082190000}"/>
    <cellStyle name="Accent5 62" xfId="6531" xr:uid="{00000000-0005-0000-0000-000083190000}"/>
    <cellStyle name="Accent5 62 2" xfId="6532" xr:uid="{00000000-0005-0000-0000-000084190000}"/>
    <cellStyle name="Accent5 62 2 2" xfId="6533" xr:uid="{00000000-0005-0000-0000-000085190000}"/>
    <cellStyle name="Accent5 62 3" xfId="6534" xr:uid="{00000000-0005-0000-0000-000086190000}"/>
    <cellStyle name="Accent5 62 3 2" xfId="6535" xr:uid="{00000000-0005-0000-0000-000087190000}"/>
    <cellStyle name="Accent5 62 3 2 2" xfId="6536" xr:uid="{00000000-0005-0000-0000-000088190000}"/>
    <cellStyle name="Accent5 62 3 3" xfId="6537" xr:uid="{00000000-0005-0000-0000-000089190000}"/>
    <cellStyle name="Accent5 62 4" xfId="6538" xr:uid="{00000000-0005-0000-0000-00008A190000}"/>
    <cellStyle name="Accent5 63" xfId="6539" xr:uid="{00000000-0005-0000-0000-00008B190000}"/>
    <cellStyle name="Accent5 63 2" xfId="6540" xr:uid="{00000000-0005-0000-0000-00008C190000}"/>
    <cellStyle name="Accent5 63 2 2" xfId="6541" xr:uid="{00000000-0005-0000-0000-00008D190000}"/>
    <cellStyle name="Accent5 63 3" xfId="6542" xr:uid="{00000000-0005-0000-0000-00008E190000}"/>
    <cellStyle name="Accent5 63 3 2" xfId="6543" xr:uid="{00000000-0005-0000-0000-00008F190000}"/>
    <cellStyle name="Accent5 63 3 2 2" xfId="6544" xr:uid="{00000000-0005-0000-0000-000090190000}"/>
    <cellStyle name="Accent5 63 3 3" xfId="6545" xr:uid="{00000000-0005-0000-0000-000091190000}"/>
    <cellStyle name="Accent5 63 4" xfId="6546" xr:uid="{00000000-0005-0000-0000-000092190000}"/>
    <cellStyle name="Accent5 64" xfId="6547" xr:uid="{00000000-0005-0000-0000-000093190000}"/>
    <cellStyle name="Accent5 64 2" xfId="6548" xr:uid="{00000000-0005-0000-0000-000094190000}"/>
    <cellStyle name="Accent5 64 2 2" xfId="6549" xr:uid="{00000000-0005-0000-0000-000095190000}"/>
    <cellStyle name="Accent5 64 3" xfId="6550" xr:uid="{00000000-0005-0000-0000-000096190000}"/>
    <cellStyle name="Accent5 64 3 2" xfId="6551" xr:uid="{00000000-0005-0000-0000-000097190000}"/>
    <cellStyle name="Accent5 64 3 2 2" xfId="6552" xr:uid="{00000000-0005-0000-0000-000098190000}"/>
    <cellStyle name="Accent5 64 3 3" xfId="6553" xr:uid="{00000000-0005-0000-0000-000099190000}"/>
    <cellStyle name="Accent5 64 4" xfId="6554" xr:uid="{00000000-0005-0000-0000-00009A190000}"/>
    <cellStyle name="Accent5 65" xfId="6555" xr:uid="{00000000-0005-0000-0000-00009B190000}"/>
    <cellStyle name="Accent5 65 2" xfId="6556" xr:uid="{00000000-0005-0000-0000-00009C190000}"/>
    <cellStyle name="Accent5 65 2 2" xfId="6557" xr:uid="{00000000-0005-0000-0000-00009D190000}"/>
    <cellStyle name="Accent5 65 3" xfId="6558" xr:uid="{00000000-0005-0000-0000-00009E190000}"/>
    <cellStyle name="Accent5 65 3 2" xfId="6559" xr:uid="{00000000-0005-0000-0000-00009F190000}"/>
    <cellStyle name="Accent5 65 3 2 2" xfId="6560" xr:uid="{00000000-0005-0000-0000-0000A0190000}"/>
    <cellStyle name="Accent5 65 3 3" xfId="6561" xr:uid="{00000000-0005-0000-0000-0000A1190000}"/>
    <cellStyle name="Accent5 65 4" xfId="6562" xr:uid="{00000000-0005-0000-0000-0000A2190000}"/>
    <cellStyle name="Accent5 66" xfId="6563" xr:uid="{00000000-0005-0000-0000-0000A3190000}"/>
    <cellStyle name="Accent5 66 2" xfId="6564" xr:uid="{00000000-0005-0000-0000-0000A4190000}"/>
    <cellStyle name="Accent5 66 2 2" xfId="6565" xr:uid="{00000000-0005-0000-0000-0000A5190000}"/>
    <cellStyle name="Accent5 66 3" xfId="6566" xr:uid="{00000000-0005-0000-0000-0000A6190000}"/>
    <cellStyle name="Accent5 66 3 2" xfId="6567" xr:uid="{00000000-0005-0000-0000-0000A7190000}"/>
    <cellStyle name="Accent5 66 3 2 2" xfId="6568" xr:uid="{00000000-0005-0000-0000-0000A8190000}"/>
    <cellStyle name="Accent5 66 3 3" xfId="6569" xr:uid="{00000000-0005-0000-0000-0000A9190000}"/>
    <cellStyle name="Accent5 66 4" xfId="6570" xr:uid="{00000000-0005-0000-0000-0000AA190000}"/>
    <cellStyle name="Accent5 67" xfId="6571" xr:uid="{00000000-0005-0000-0000-0000AB190000}"/>
    <cellStyle name="Accent5 67 2" xfId="6572" xr:uid="{00000000-0005-0000-0000-0000AC190000}"/>
    <cellStyle name="Accent5 67 2 2" xfId="6573" xr:uid="{00000000-0005-0000-0000-0000AD190000}"/>
    <cellStyle name="Accent5 67 3" xfId="6574" xr:uid="{00000000-0005-0000-0000-0000AE190000}"/>
    <cellStyle name="Accent5 67 3 2" xfId="6575" xr:uid="{00000000-0005-0000-0000-0000AF190000}"/>
    <cellStyle name="Accent5 67 3 2 2" xfId="6576" xr:uid="{00000000-0005-0000-0000-0000B0190000}"/>
    <cellStyle name="Accent5 67 3 3" xfId="6577" xr:uid="{00000000-0005-0000-0000-0000B1190000}"/>
    <cellStyle name="Accent5 67 4" xfId="6578" xr:uid="{00000000-0005-0000-0000-0000B2190000}"/>
    <cellStyle name="Accent5 68" xfId="6579" xr:uid="{00000000-0005-0000-0000-0000B3190000}"/>
    <cellStyle name="Accent5 68 2" xfId="6580" xr:uid="{00000000-0005-0000-0000-0000B4190000}"/>
    <cellStyle name="Accent5 68 2 2" xfId="6581" xr:uid="{00000000-0005-0000-0000-0000B5190000}"/>
    <cellStyle name="Accent5 68 3" xfId="6582" xr:uid="{00000000-0005-0000-0000-0000B6190000}"/>
    <cellStyle name="Accent5 68 3 2" xfId="6583" xr:uid="{00000000-0005-0000-0000-0000B7190000}"/>
    <cellStyle name="Accent5 68 3 2 2" xfId="6584" xr:uid="{00000000-0005-0000-0000-0000B8190000}"/>
    <cellStyle name="Accent5 68 3 3" xfId="6585" xr:uid="{00000000-0005-0000-0000-0000B9190000}"/>
    <cellStyle name="Accent5 68 4" xfId="6586" xr:uid="{00000000-0005-0000-0000-0000BA190000}"/>
    <cellStyle name="Accent5 69" xfId="6587" xr:uid="{00000000-0005-0000-0000-0000BB190000}"/>
    <cellStyle name="Accent5 69 2" xfId="6588" xr:uid="{00000000-0005-0000-0000-0000BC190000}"/>
    <cellStyle name="Accent5 69 2 2" xfId="6589" xr:uid="{00000000-0005-0000-0000-0000BD190000}"/>
    <cellStyle name="Accent5 69 3" xfId="6590" xr:uid="{00000000-0005-0000-0000-0000BE190000}"/>
    <cellStyle name="Accent5 69 3 2" xfId="6591" xr:uid="{00000000-0005-0000-0000-0000BF190000}"/>
    <cellStyle name="Accent5 69 3 2 2" xfId="6592" xr:uid="{00000000-0005-0000-0000-0000C0190000}"/>
    <cellStyle name="Accent5 69 3 3" xfId="6593" xr:uid="{00000000-0005-0000-0000-0000C1190000}"/>
    <cellStyle name="Accent5 69 4" xfId="6594" xr:uid="{00000000-0005-0000-0000-0000C2190000}"/>
    <cellStyle name="Accent5 7" xfId="6595" xr:uid="{00000000-0005-0000-0000-0000C3190000}"/>
    <cellStyle name="Accent5 7 2" xfId="6596" xr:uid="{00000000-0005-0000-0000-0000C4190000}"/>
    <cellStyle name="Accent5 7 2 2" xfId="6597" xr:uid="{00000000-0005-0000-0000-0000C5190000}"/>
    <cellStyle name="Accent5 7 2 2 2" xfId="6598" xr:uid="{00000000-0005-0000-0000-0000C6190000}"/>
    <cellStyle name="Accent5 7 2 3" xfId="6599" xr:uid="{00000000-0005-0000-0000-0000C7190000}"/>
    <cellStyle name="Accent5 7 2 3 2" xfId="6600" xr:uid="{00000000-0005-0000-0000-0000C8190000}"/>
    <cellStyle name="Accent5 7 2 3 2 2" xfId="6601" xr:uid="{00000000-0005-0000-0000-0000C9190000}"/>
    <cellStyle name="Accent5 7 2 3 3" xfId="6602" xr:uid="{00000000-0005-0000-0000-0000CA190000}"/>
    <cellStyle name="Accent5 7 2 4" xfId="6603" xr:uid="{00000000-0005-0000-0000-0000CB190000}"/>
    <cellStyle name="Accent5 7 3" xfId="6604" xr:uid="{00000000-0005-0000-0000-0000CC190000}"/>
    <cellStyle name="Accent5 7 3 2" xfId="6605" xr:uid="{00000000-0005-0000-0000-0000CD190000}"/>
    <cellStyle name="Accent5 7 4" xfId="6606" xr:uid="{00000000-0005-0000-0000-0000CE190000}"/>
    <cellStyle name="Accent5 7 4 2" xfId="6607" xr:uid="{00000000-0005-0000-0000-0000CF190000}"/>
    <cellStyle name="Accent5 7 4 2 2" xfId="6608" xr:uid="{00000000-0005-0000-0000-0000D0190000}"/>
    <cellStyle name="Accent5 7 4 3" xfId="6609" xr:uid="{00000000-0005-0000-0000-0000D1190000}"/>
    <cellStyle name="Accent5 7 5" xfId="6610" xr:uid="{00000000-0005-0000-0000-0000D2190000}"/>
    <cellStyle name="Accent5 70" xfId="6611" xr:uid="{00000000-0005-0000-0000-0000D3190000}"/>
    <cellStyle name="Accent5 70 2" xfId="6612" xr:uid="{00000000-0005-0000-0000-0000D4190000}"/>
    <cellStyle name="Accent5 70 2 2" xfId="6613" xr:uid="{00000000-0005-0000-0000-0000D5190000}"/>
    <cellStyle name="Accent5 70 3" xfId="6614" xr:uid="{00000000-0005-0000-0000-0000D6190000}"/>
    <cellStyle name="Accent5 70 3 2" xfId="6615" xr:uid="{00000000-0005-0000-0000-0000D7190000}"/>
    <cellStyle name="Accent5 70 3 2 2" xfId="6616" xr:uid="{00000000-0005-0000-0000-0000D8190000}"/>
    <cellStyle name="Accent5 70 3 3" xfId="6617" xr:uid="{00000000-0005-0000-0000-0000D9190000}"/>
    <cellStyle name="Accent5 70 4" xfId="6618" xr:uid="{00000000-0005-0000-0000-0000DA190000}"/>
    <cellStyle name="Accent5 71" xfId="6619" xr:uid="{00000000-0005-0000-0000-0000DB190000}"/>
    <cellStyle name="Accent5 71 2" xfId="6620" xr:uid="{00000000-0005-0000-0000-0000DC190000}"/>
    <cellStyle name="Accent5 71 2 2" xfId="6621" xr:uid="{00000000-0005-0000-0000-0000DD190000}"/>
    <cellStyle name="Accent5 71 3" xfId="6622" xr:uid="{00000000-0005-0000-0000-0000DE190000}"/>
    <cellStyle name="Accent5 71 3 2" xfId="6623" xr:uid="{00000000-0005-0000-0000-0000DF190000}"/>
    <cellStyle name="Accent5 71 3 2 2" xfId="6624" xr:uid="{00000000-0005-0000-0000-0000E0190000}"/>
    <cellStyle name="Accent5 71 3 3" xfId="6625" xr:uid="{00000000-0005-0000-0000-0000E1190000}"/>
    <cellStyle name="Accent5 71 4" xfId="6626" xr:uid="{00000000-0005-0000-0000-0000E2190000}"/>
    <cellStyle name="Accent5 72" xfId="6627" xr:uid="{00000000-0005-0000-0000-0000E3190000}"/>
    <cellStyle name="Accent5 72 2" xfId="6628" xr:uid="{00000000-0005-0000-0000-0000E4190000}"/>
    <cellStyle name="Accent5 72 2 2" xfId="6629" xr:uid="{00000000-0005-0000-0000-0000E5190000}"/>
    <cellStyle name="Accent5 72 3" xfId="6630" xr:uid="{00000000-0005-0000-0000-0000E6190000}"/>
    <cellStyle name="Accent5 72 3 2" xfId="6631" xr:uid="{00000000-0005-0000-0000-0000E7190000}"/>
    <cellStyle name="Accent5 72 3 2 2" xfId="6632" xr:uid="{00000000-0005-0000-0000-0000E8190000}"/>
    <cellStyle name="Accent5 72 3 3" xfId="6633" xr:uid="{00000000-0005-0000-0000-0000E9190000}"/>
    <cellStyle name="Accent5 72 4" xfId="6634" xr:uid="{00000000-0005-0000-0000-0000EA190000}"/>
    <cellStyle name="Accent5 73" xfId="6635" xr:uid="{00000000-0005-0000-0000-0000EB190000}"/>
    <cellStyle name="Accent5 73 2" xfId="6636" xr:uid="{00000000-0005-0000-0000-0000EC190000}"/>
    <cellStyle name="Accent5 73 2 2" xfId="6637" xr:uid="{00000000-0005-0000-0000-0000ED190000}"/>
    <cellStyle name="Accent5 73 3" xfId="6638" xr:uid="{00000000-0005-0000-0000-0000EE190000}"/>
    <cellStyle name="Accent5 73 3 2" xfId="6639" xr:uid="{00000000-0005-0000-0000-0000EF190000}"/>
    <cellStyle name="Accent5 73 3 2 2" xfId="6640" xr:uid="{00000000-0005-0000-0000-0000F0190000}"/>
    <cellStyle name="Accent5 73 3 3" xfId="6641" xr:uid="{00000000-0005-0000-0000-0000F1190000}"/>
    <cellStyle name="Accent5 73 4" xfId="6642" xr:uid="{00000000-0005-0000-0000-0000F2190000}"/>
    <cellStyle name="Accent5 74" xfId="6643" xr:uid="{00000000-0005-0000-0000-0000F3190000}"/>
    <cellStyle name="Accent5 74 2" xfId="6644" xr:uid="{00000000-0005-0000-0000-0000F4190000}"/>
    <cellStyle name="Accent5 74 2 2" xfId="6645" xr:uid="{00000000-0005-0000-0000-0000F5190000}"/>
    <cellStyle name="Accent5 74 3" xfId="6646" xr:uid="{00000000-0005-0000-0000-0000F6190000}"/>
    <cellStyle name="Accent5 74 3 2" xfId="6647" xr:uid="{00000000-0005-0000-0000-0000F7190000}"/>
    <cellStyle name="Accent5 74 3 2 2" xfId="6648" xr:uid="{00000000-0005-0000-0000-0000F8190000}"/>
    <cellStyle name="Accent5 74 3 3" xfId="6649" xr:uid="{00000000-0005-0000-0000-0000F9190000}"/>
    <cellStyle name="Accent5 74 4" xfId="6650" xr:uid="{00000000-0005-0000-0000-0000FA190000}"/>
    <cellStyle name="Accent5 75" xfId="6651" xr:uid="{00000000-0005-0000-0000-0000FB190000}"/>
    <cellStyle name="Accent5 75 2" xfId="6652" xr:uid="{00000000-0005-0000-0000-0000FC190000}"/>
    <cellStyle name="Accent5 75 2 2" xfId="6653" xr:uid="{00000000-0005-0000-0000-0000FD190000}"/>
    <cellStyle name="Accent5 75 3" xfId="6654" xr:uid="{00000000-0005-0000-0000-0000FE190000}"/>
    <cellStyle name="Accent5 75 3 2" xfId="6655" xr:uid="{00000000-0005-0000-0000-0000FF190000}"/>
    <cellStyle name="Accent5 75 3 2 2" xfId="6656" xr:uid="{00000000-0005-0000-0000-0000001A0000}"/>
    <cellStyle name="Accent5 75 3 3" xfId="6657" xr:uid="{00000000-0005-0000-0000-0000011A0000}"/>
    <cellStyle name="Accent5 75 4" xfId="6658" xr:uid="{00000000-0005-0000-0000-0000021A0000}"/>
    <cellStyle name="Accent5 76" xfId="6659" xr:uid="{00000000-0005-0000-0000-0000031A0000}"/>
    <cellStyle name="Accent5 76 2" xfId="6660" xr:uid="{00000000-0005-0000-0000-0000041A0000}"/>
    <cellStyle name="Accent5 76 2 2" xfId="6661" xr:uid="{00000000-0005-0000-0000-0000051A0000}"/>
    <cellStyle name="Accent5 76 3" xfId="6662" xr:uid="{00000000-0005-0000-0000-0000061A0000}"/>
    <cellStyle name="Accent5 76 3 2" xfId="6663" xr:uid="{00000000-0005-0000-0000-0000071A0000}"/>
    <cellStyle name="Accent5 76 3 2 2" xfId="6664" xr:uid="{00000000-0005-0000-0000-0000081A0000}"/>
    <cellStyle name="Accent5 76 3 3" xfId="6665" xr:uid="{00000000-0005-0000-0000-0000091A0000}"/>
    <cellStyle name="Accent5 76 4" xfId="6666" xr:uid="{00000000-0005-0000-0000-00000A1A0000}"/>
    <cellStyle name="Accent5 77" xfId="6667" xr:uid="{00000000-0005-0000-0000-00000B1A0000}"/>
    <cellStyle name="Accent5 77 2" xfId="6668" xr:uid="{00000000-0005-0000-0000-00000C1A0000}"/>
    <cellStyle name="Accent5 77 2 2" xfId="6669" xr:uid="{00000000-0005-0000-0000-00000D1A0000}"/>
    <cellStyle name="Accent5 77 3" xfId="6670" xr:uid="{00000000-0005-0000-0000-00000E1A0000}"/>
    <cellStyle name="Accent5 77 3 2" xfId="6671" xr:uid="{00000000-0005-0000-0000-00000F1A0000}"/>
    <cellStyle name="Accent5 77 3 2 2" xfId="6672" xr:uid="{00000000-0005-0000-0000-0000101A0000}"/>
    <cellStyle name="Accent5 77 3 3" xfId="6673" xr:uid="{00000000-0005-0000-0000-0000111A0000}"/>
    <cellStyle name="Accent5 77 4" xfId="6674" xr:uid="{00000000-0005-0000-0000-0000121A0000}"/>
    <cellStyle name="Accent5 78" xfId="6675" xr:uid="{00000000-0005-0000-0000-0000131A0000}"/>
    <cellStyle name="Accent5 78 2" xfId="6676" xr:uid="{00000000-0005-0000-0000-0000141A0000}"/>
    <cellStyle name="Accent5 78 2 2" xfId="6677" xr:uid="{00000000-0005-0000-0000-0000151A0000}"/>
    <cellStyle name="Accent5 78 3" xfId="6678" xr:uid="{00000000-0005-0000-0000-0000161A0000}"/>
    <cellStyle name="Accent5 78 3 2" xfId="6679" xr:uid="{00000000-0005-0000-0000-0000171A0000}"/>
    <cellStyle name="Accent5 78 3 2 2" xfId="6680" xr:uid="{00000000-0005-0000-0000-0000181A0000}"/>
    <cellStyle name="Accent5 78 3 3" xfId="6681" xr:uid="{00000000-0005-0000-0000-0000191A0000}"/>
    <cellStyle name="Accent5 78 4" xfId="6682" xr:uid="{00000000-0005-0000-0000-00001A1A0000}"/>
    <cellStyle name="Accent5 79" xfId="6683" xr:uid="{00000000-0005-0000-0000-00001B1A0000}"/>
    <cellStyle name="Accent5 79 2" xfId="6684" xr:uid="{00000000-0005-0000-0000-00001C1A0000}"/>
    <cellStyle name="Accent5 79 2 2" xfId="6685" xr:uid="{00000000-0005-0000-0000-00001D1A0000}"/>
    <cellStyle name="Accent5 79 3" xfId="6686" xr:uid="{00000000-0005-0000-0000-00001E1A0000}"/>
    <cellStyle name="Accent5 79 3 2" xfId="6687" xr:uid="{00000000-0005-0000-0000-00001F1A0000}"/>
    <cellStyle name="Accent5 79 3 2 2" xfId="6688" xr:uid="{00000000-0005-0000-0000-0000201A0000}"/>
    <cellStyle name="Accent5 79 3 3" xfId="6689" xr:uid="{00000000-0005-0000-0000-0000211A0000}"/>
    <cellStyle name="Accent5 79 4" xfId="6690" xr:uid="{00000000-0005-0000-0000-0000221A0000}"/>
    <cellStyle name="Accent5 8" xfId="6691" xr:uid="{00000000-0005-0000-0000-0000231A0000}"/>
    <cellStyle name="Accent5 8 2" xfId="6692" xr:uid="{00000000-0005-0000-0000-0000241A0000}"/>
    <cellStyle name="Accent5 8 2 2" xfId="6693" xr:uid="{00000000-0005-0000-0000-0000251A0000}"/>
    <cellStyle name="Accent5 8 3" xfId="6694" xr:uid="{00000000-0005-0000-0000-0000261A0000}"/>
    <cellStyle name="Accent5 80" xfId="6695" xr:uid="{00000000-0005-0000-0000-0000271A0000}"/>
    <cellStyle name="Accent5 80 2" xfId="6696" xr:uid="{00000000-0005-0000-0000-0000281A0000}"/>
    <cellStyle name="Accent5 80 2 2" xfId="6697" xr:uid="{00000000-0005-0000-0000-0000291A0000}"/>
    <cellStyle name="Accent5 80 3" xfId="6698" xr:uid="{00000000-0005-0000-0000-00002A1A0000}"/>
    <cellStyle name="Accent5 80 3 2" xfId="6699" xr:uid="{00000000-0005-0000-0000-00002B1A0000}"/>
    <cellStyle name="Accent5 80 3 2 2" xfId="6700" xr:uid="{00000000-0005-0000-0000-00002C1A0000}"/>
    <cellStyle name="Accent5 80 3 3" xfId="6701" xr:uid="{00000000-0005-0000-0000-00002D1A0000}"/>
    <cellStyle name="Accent5 80 4" xfId="6702" xr:uid="{00000000-0005-0000-0000-00002E1A0000}"/>
    <cellStyle name="Accent5 81" xfId="6703" xr:uid="{00000000-0005-0000-0000-00002F1A0000}"/>
    <cellStyle name="Accent5 81 2" xfId="6704" xr:uid="{00000000-0005-0000-0000-0000301A0000}"/>
    <cellStyle name="Accent5 81 2 2" xfId="6705" xr:uid="{00000000-0005-0000-0000-0000311A0000}"/>
    <cellStyle name="Accent5 81 3" xfId="6706" xr:uid="{00000000-0005-0000-0000-0000321A0000}"/>
    <cellStyle name="Accent5 81 3 2" xfId="6707" xr:uid="{00000000-0005-0000-0000-0000331A0000}"/>
    <cellStyle name="Accent5 81 3 2 2" xfId="6708" xr:uid="{00000000-0005-0000-0000-0000341A0000}"/>
    <cellStyle name="Accent5 81 3 3" xfId="6709" xr:uid="{00000000-0005-0000-0000-0000351A0000}"/>
    <cellStyle name="Accent5 81 4" xfId="6710" xr:uid="{00000000-0005-0000-0000-0000361A0000}"/>
    <cellStyle name="Accent5 82" xfId="6711" xr:uid="{00000000-0005-0000-0000-0000371A0000}"/>
    <cellStyle name="Accent5 82 2" xfId="6712" xr:uid="{00000000-0005-0000-0000-0000381A0000}"/>
    <cellStyle name="Accent5 82 2 2" xfId="6713" xr:uid="{00000000-0005-0000-0000-0000391A0000}"/>
    <cellStyle name="Accent5 82 3" xfId="6714" xr:uid="{00000000-0005-0000-0000-00003A1A0000}"/>
    <cellStyle name="Accent5 82 3 2" xfId="6715" xr:uid="{00000000-0005-0000-0000-00003B1A0000}"/>
    <cellStyle name="Accent5 82 3 2 2" xfId="6716" xr:uid="{00000000-0005-0000-0000-00003C1A0000}"/>
    <cellStyle name="Accent5 82 3 3" xfId="6717" xr:uid="{00000000-0005-0000-0000-00003D1A0000}"/>
    <cellStyle name="Accent5 82 4" xfId="6718" xr:uid="{00000000-0005-0000-0000-00003E1A0000}"/>
    <cellStyle name="Accent5 83" xfId="6719" xr:uid="{00000000-0005-0000-0000-00003F1A0000}"/>
    <cellStyle name="Accent5 83 2" xfId="6720" xr:uid="{00000000-0005-0000-0000-0000401A0000}"/>
    <cellStyle name="Accent5 83 2 2" xfId="6721" xr:uid="{00000000-0005-0000-0000-0000411A0000}"/>
    <cellStyle name="Accent5 83 3" xfId="6722" xr:uid="{00000000-0005-0000-0000-0000421A0000}"/>
    <cellStyle name="Accent5 83 3 2" xfId="6723" xr:uid="{00000000-0005-0000-0000-0000431A0000}"/>
    <cellStyle name="Accent5 83 3 2 2" xfId="6724" xr:uid="{00000000-0005-0000-0000-0000441A0000}"/>
    <cellStyle name="Accent5 83 3 3" xfId="6725" xr:uid="{00000000-0005-0000-0000-0000451A0000}"/>
    <cellStyle name="Accent5 83 4" xfId="6726" xr:uid="{00000000-0005-0000-0000-0000461A0000}"/>
    <cellStyle name="Accent5 84" xfId="6727" xr:uid="{00000000-0005-0000-0000-0000471A0000}"/>
    <cellStyle name="Accent5 84 2" xfId="6728" xr:uid="{00000000-0005-0000-0000-0000481A0000}"/>
    <cellStyle name="Accent5 84 2 2" xfId="6729" xr:uid="{00000000-0005-0000-0000-0000491A0000}"/>
    <cellStyle name="Accent5 84 3" xfId="6730" xr:uid="{00000000-0005-0000-0000-00004A1A0000}"/>
    <cellStyle name="Accent5 85" xfId="6731" xr:uid="{00000000-0005-0000-0000-00004B1A0000}"/>
    <cellStyle name="Accent5 85 2" xfId="6732" xr:uid="{00000000-0005-0000-0000-00004C1A0000}"/>
    <cellStyle name="Accent5 85 2 2" xfId="6733" xr:uid="{00000000-0005-0000-0000-00004D1A0000}"/>
    <cellStyle name="Accent5 85 3" xfId="6734" xr:uid="{00000000-0005-0000-0000-00004E1A0000}"/>
    <cellStyle name="Accent5 86" xfId="6735" xr:uid="{00000000-0005-0000-0000-00004F1A0000}"/>
    <cellStyle name="Accent5 86 2" xfId="6736" xr:uid="{00000000-0005-0000-0000-0000501A0000}"/>
    <cellStyle name="Accent5 86 2 2" xfId="6737" xr:uid="{00000000-0005-0000-0000-0000511A0000}"/>
    <cellStyle name="Accent5 86 3" xfId="6738" xr:uid="{00000000-0005-0000-0000-0000521A0000}"/>
    <cellStyle name="Accent5 87" xfId="6739" xr:uid="{00000000-0005-0000-0000-0000531A0000}"/>
    <cellStyle name="Accent5 87 2" xfId="6740" xr:uid="{00000000-0005-0000-0000-0000541A0000}"/>
    <cellStyle name="Accent5 87 2 2" xfId="6741" xr:uid="{00000000-0005-0000-0000-0000551A0000}"/>
    <cellStyle name="Accent5 87 3" xfId="6742" xr:uid="{00000000-0005-0000-0000-0000561A0000}"/>
    <cellStyle name="Accent5 88" xfId="6743" xr:uid="{00000000-0005-0000-0000-0000571A0000}"/>
    <cellStyle name="Accent5 88 2" xfId="6744" xr:uid="{00000000-0005-0000-0000-0000581A0000}"/>
    <cellStyle name="Accent5 88 2 2" xfId="6745" xr:uid="{00000000-0005-0000-0000-0000591A0000}"/>
    <cellStyle name="Accent5 88 3" xfId="6746" xr:uid="{00000000-0005-0000-0000-00005A1A0000}"/>
    <cellStyle name="Accent5 89" xfId="6747" xr:uid="{00000000-0005-0000-0000-00005B1A0000}"/>
    <cellStyle name="Accent5 89 2" xfId="6748" xr:uid="{00000000-0005-0000-0000-00005C1A0000}"/>
    <cellStyle name="Accent5 89 2 2" xfId="6749" xr:uid="{00000000-0005-0000-0000-00005D1A0000}"/>
    <cellStyle name="Accent5 89 3" xfId="6750" xr:uid="{00000000-0005-0000-0000-00005E1A0000}"/>
    <cellStyle name="Accent5 9" xfId="6751" xr:uid="{00000000-0005-0000-0000-00005F1A0000}"/>
    <cellStyle name="Accent5 9 2" xfId="6752" xr:uid="{00000000-0005-0000-0000-0000601A0000}"/>
    <cellStyle name="Accent5 9 2 2" xfId="6753" xr:uid="{00000000-0005-0000-0000-0000611A0000}"/>
    <cellStyle name="Accent5 9 3" xfId="6754" xr:uid="{00000000-0005-0000-0000-0000621A0000}"/>
    <cellStyle name="Accent5 90" xfId="6755" xr:uid="{00000000-0005-0000-0000-0000631A0000}"/>
    <cellStyle name="Accent5 90 2" xfId="6756" xr:uid="{00000000-0005-0000-0000-0000641A0000}"/>
    <cellStyle name="Accent5 90 2 2" xfId="6757" xr:uid="{00000000-0005-0000-0000-0000651A0000}"/>
    <cellStyle name="Accent5 90 3" xfId="6758" xr:uid="{00000000-0005-0000-0000-0000661A0000}"/>
    <cellStyle name="Accent5 91" xfId="6759" xr:uid="{00000000-0005-0000-0000-0000671A0000}"/>
    <cellStyle name="Accent5 91 2" xfId="6760" xr:uid="{00000000-0005-0000-0000-0000681A0000}"/>
    <cellStyle name="Accent5 91 2 2" xfId="6761" xr:uid="{00000000-0005-0000-0000-0000691A0000}"/>
    <cellStyle name="Accent5 91 3" xfId="6762" xr:uid="{00000000-0005-0000-0000-00006A1A0000}"/>
    <cellStyle name="Accent5 92" xfId="6763" xr:uid="{00000000-0005-0000-0000-00006B1A0000}"/>
    <cellStyle name="Accent5 92 2" xfId="6764" xr:uid="{00000000-0005-0000-0000-00006C1A0000}"/>
    <cellStyle name="Accent5 92 2 2" xfId="6765" xr:uid="{00000000-0005-0000-0000-00006D1A0000}"/>
    <cellStyle name="Accent5 92 3" xfId="6766" xr:uid="{00000000-0005-0000-0000-00006E1A0000}"/>
    <cellStyle name="Accent5 93" xfId="6767" xr:uid="{00000000-0005-0000-0000-00006F1A0000}"/>
    <cellStyle name="Accent5 93 2" xfId="6768" xr:uid="{00000000-0005-0000-0000-0000701A0000}"/>
    <cellStyle name="Accent5 93 2 2" xfId="6769" xr:uid="{00000000-0005-0000-0000-0000711A0000}"/>
    <cellStyle name="Accent5 93 3" xfId="6770" xr:uid="{00000000-0005-0000-0000-0000721A0000}"/>
    <cellStyle name="Accent5 94" xfId="6771" xr:uid="{00000000-0005-0000-0000-0000731A0000}"/>
    <cellStyle name="Accent5 94 2" xfId="6772" xr:uid="{00000000-0005-0000-0000-0000741A0000}"/>
    <cellStyle name="Accent5 94 2 2" xfId="6773" xr:uid="{00000000-0005-0000-0000-0000751A0000}"/>
    <cellStyle name="Accent5 94 3" xfId="6774" xr:uid="{00000000-0005-0000-0000-0000761A0000}"/>
    <cellStyle name="Accent5 95" xfId="6775" xr:uid="{00000000-0005-0000-0000-0000771A0000}"/>
    <cellStyle name="Accent5 95 2" xfId="6776" xr:uid="{00000000-0005-0000-0000-0000781A0000}"/>
    <cellStyle name="Accent5 95 2 2" xfId="6777" xr:uid="{00000000-0005-0000-0000-0000791A0000}"/>
    <cellStyle name="Accent5 95 3" xfId="6778" xr:uid="{00000000-0005-0000-0000-00007A1A0000}"/>
    <cellStyle name="Accent5 96" xfId="6779" xr:uid="{00000000-0005-0000-0000-00007B1A0000}"/>
    <cellStyle name="Accent5 96 2" xfId="6780" xr:uid="{00000000-0005-0000-0000-00007C1A0000}"/>
    <cellStyle name="Accent5 96 2 2" xfId="6781" xr:uid="{00000000-0005-0000-0000-00007D1A0000}"/>
    <cellStyle name="Accent5 96 3" xfId="6782" xr:uid="{00000000-0005-0000-0000-00007E1A0000}"/>
    <cellStyle name="Accent5 97" xfId="6783" xr:uid="{00000000-0005-0000-0000-00007F1A0000}"/>
    <cellStyle name="Accent5 97 2" xfId="6784" xr:uid="{00000000-0005-0000-0000-0000801A0000}"/>
    <cellStyle name="Accent5 97 2 2" xfId="6785" xr:uid="{00000000-0005-0000-0000-0000811A0000}"/>
    <cellStyle name="Accent5 97 3" xfId="6786" xr:uid="{00000000-0005-0000-0000-0000821A0000}"/>
    <cellStyle name="Accent5 98" xfId="6787" xr:uid="{00000000-0005-0000-0000-0000831A0000}"/>
    <cellStyle name="Accent5 98 2" xfId="6788" xr:uid="{00000000-0005-0000-0000-0000841A0000}"/>
    <cellStyle name="Accent5 98 2 2" xfId="6789" xr:uid="{00000000-0005-0000-0000-0000851A0000}"/>
    <cellStyle name="Accent5 98 3" xfId="6790" xr:uid="{00000000-0005-0000-0000-0000861A0000}"/>
    <cellStyle name="Accent5 99" xfId="6791" xr:uid="{00000000-0005-0000-0000-0000871A0000}"/>
    <cellStyle name="Accent5 99 2" xfId="6792" xr:uid="{00000000-0005-0000-0000-0000881A0000}"/>
    <cellStyle name="Accent5 99 2 2" xfId="6793" xr:uid="{00000000-0005-0000-0000-0000891A0000}"/>
    <cellStyle name="Accent5 99 3" xfId="6794" xr:uid="{00000000-0005-0000-0000-00008A1A0000}"/>
    <cellStyle name="Accent6 - 20%" xfId="6795" xr:uid="{00000000-0005-0000-0000-00008B1A0000}"/>
    <cellStyle name="Accent6 - 20% 2" xfId="6796" xr:uid="{00000000-0005-0000-0000-00008C1A0000}"/>
    <cellStyle name="Accent6 - 20% 2 2" xfId="6797" xr:uid="{00000000-0005-0000-0000-00008D1A0000}"/>
    <cellStyle name="Accent6 - 20% 2 2 2" xfId="6798" xr:uid="{00000000-0005-0000-0000-00008E1A0000}"/>
    <cellStyle name="Accent6 - 20% 2 2 2 2" xfId="6799" xr:uid="{00000000-0005-0000-0000-00008F1A0000}"/>
    <cellStyle name="Accent6 - 20% 2 2 3" xfId="6800" xr:uid="{00000000-0005-0000-0000-0000901A0000}"/>
    <cellStyle name="Accent6 - 20% 2 3" xfId="6801" xr:uid="{00000000-0005-0000-0000-0000911A0000}"/>
    <cellStyle name="Accent6 - 20% 2 3 2" xfId="6802" xr:uid="{00000000-0005-0000-0000-0000921A0000}"/>
    <cellStyle name="Accent6 - 20% 2 3 2 2" xfId="6803" xr:uid="{00000000-0005-0000-0000-0000931A0000}"/>
    <cellStyle name="Accent6 - 20% 2 3 2 2 2" xfId="6804" xr:uid="{00000000-0005-0000-0000-0000941A0000}"/>
    <cellStyle name="Accent6 - 20% 2 3 2 3" xfId="6805" xr:uid="{00000000-0005-0000-0000-0000951A0000}"/>
    <cellStyle name="Accent6 - 20% 2 3 3" xfId="6806" xr:uid="{00000000-0005-0000-0000-0000961A0000}"/>
    <cellStyle name="Accent6 - 20% 2 3 3 2" xfId="6807" xr:uid="{00000000-0005-0000-0000-0000971A0000}"/>
    <cellStyle name="Accent6 - 20% 2 3 4" xfId="6808" xr:uid="{00000000-0005-0000-0000-0000981A0000}"/>
    <cellStyle name="Accent6 - 20% 2 4" xfId="6809" xr:uid="{00000000-0005-0000-0000-0000991A0000}"/>
    <cellStyle name="Accent6 - 20% 2 4 2" xfId="6810" xr:uid="{00000000-0005-0000-0000-00009A1A0000}"/>
    <cellStyle name="Accent6 - 20% 2 5" xfId="6811" xr:uid="{00000000-0005-0000-0000-00009B1A0000}"/>
    <cellStyle name="Accent6 - 20% 2 5 2" xfId="6812" xr:uid="{00000000-0005-0000-0000-00009C1A0000}"/>
    <cellStyle name="Accent6 - 20% 2 6" xfId="6813" xr:uid="{00000000-0005-0000-0000-00009D1A0000}"/>
    <cellStyle name="Accent6 - 20% 3" xfId="6814" xr:uid="{00000000-0005-0000-0000-00009E1A0000}"/>
    <cellStyle name="Accent6 - 20% 3 2" xfId="6815" xr:uid="{00000000-0005-0000-0000-00009F1A0000}"/>
    <cellStyle name="Accent6 - 20% 3 2 2" xfId="6816" xr:uid="{00000000-0005-0000-0000-0000A01A0000}"/>
    <cellStyle name="Accent6 - 20% 3 2 2 2" xfId="6817" xr:uid="{00000000-0005-0000-0000-0000A11A0000}"/>
    <cellStyle name="Accent6 - 20% 3 2 3" xfId="6818" xr:uid="{00000000-0005-0000-0000-0000A21A0000}"/>
    <cellStyle name="Accent6 - 20% 3 3" xfId="6819" xr:uid="{00000000-0005-0000-0000-0000A31A0000}"/>
    <cellStyle name="Accent6 - 20% 3 3 2" xfId="6820" xr:uid="{00000000-0005-0000-0000-0000A41A0000}"/>
    <cellStyle name="Accent6 - 20% 3 4" xfId="6821" xr:uid="{00000000-0005-0000-0000-0000A51A0000}"/>
    <cellStyle name="Accent6 - 20% 4" xfId="6822" xr:uid="{00000000-0005-0000-0000-0000A61A0000}"/>
    <cellStyle name="Accent6 - 20% 4 2" xfId="6823" xr:uid="{00000000-0005-0000-0000-0000A71A0000}"/>
    <cellStyle name="Accent6 - 20% 4 2 2" xfId="6824" xr:uid="{00000000-0005-0000-0000-0000A81A0000}"/>
    <cellStyle name="Accent6 - 20% 4 3" xfId="6825" xr:uid="{00000000-0005-0000-0000-0000A91A0000}"/>
    <cellStyle name="Accent6 - 20% 5" xfId="6826" xr:uid="{00000000-0005-0000-0000-0000AA1A0000}"/>
    <cellStyle name="Accent6 - 20% 5 2" xfId="6827" xr:uid="{00000000-0005-0000-0000-0000AB1A0000}"/>
    <cellStyle name="Accent6 - 20% 6" xfId="6828" xr:uid="{00000000-0005-0000-0000-0000AC1A0000}"/>
    <cellStyle name="Accent6 - 20% 6 2" xfId="6829" xr:uid="{00000000-0005-0000-0000-0000AD1A0000}"/>
    <cellStyle name="Accent6 - 20% 7" xfId="6830" xr:uid="{00000000-0005-0000-0000-0000AE1A0000}"/>
    <cellStyle name="Accent6 - 20% 8" xfId="6831" xr:uid="{00000000-0005-0000-0000-0000AF1A0000}"/>
    <cellStyle name="Accent6 - 40%" xfId="6832" xr:uid="{00000000-0005-0000-0000-0000B01A0000}"/>
    <cellStyle name="Accent6 - 40% 10" xfId="6833" xr:uid="{00000000-0005-0000-0000-0000B11A0000}"/>
    <cellStyle name="Accent6 - 40% 11" xfId="6834" xr:uid="{00000000-0005-0000-0000-0000B21A0000}"/>
    <cellStyle name="Accent6 - 40% 2" xfId="6835" xr:uid="{00000000-0005-0000-0000-0000B31A0000}"/>
    <cellStyle name="Accent6 - 40% 2 2" xfId="6836" xr:uid="{00000000-0005-0000-0000-0000B41A0000}"/>
    <cellStyle name="Accent6 - 40% 2 2 2" xfId="6837" xr:uid="{00000000-0005-0000-0000-0000B51A0000}"/>
    <cellStyle name="Accent6 - 40% 2 2 2 2" xfId="6838" xr:uid="{00000000-0005-0000-0000-0000B61A0000}"/>
    <cellStyle name="Accent6 - 40% 2 2 3" xfId="6839" xr:uid="{00000000-0005-0000-0000-0000B71A0000}"/>
    <cellStyle name="Accent6 - 40% 2 3" xfId="6840" xr:uid="{00000000-0005-0000-0000-0000B81A0000}"/>
    <cellStyle name="Accent6 - 40% 2 3 2" xfId="6841" xr:uid="{00000000-0005-0000-0000-0000B91A0000}"/>
    <cellStyle name="Accent6 - 40% 2 3 2 2" xfId="6842" xr:uid="{00000000-0005-0000-0000-0000BA1A0000}"/>
    <cellStyle name="Accent6 - 40% 2 3 2 2 2" xfId="6843" xr:uid="{00000000-0005-0000-0000-0000BB1A0000}"/>
    <cellStyle name="Accent6 - 40% 2 3 2 3" xfId="6844" xr:uid="{00000000-0005-0000-0000-0000BC1A0000}"/>
    <cellStyle name="Accent6 - 40% 2 3 3" xfId="6845" xr:uid="{00000000-0005-0000-0000-0000BD1A0000}"/>
    <cellStyle name="Accent6 - 40% 2 3 3 2" xfId="6846" xr:uid="{00000000-0005-0000-0000-0000BE1A0000}"/>
    <cellStyle name="Accent6 - 40% 2 3 4" xfId="6847" xr:uid="{00000000-0005-0000-0000-0000BF1A0000}"/>
    <cellStyle name="Accent6 - 40% 2 4" xfId="6848" xr:uid="{00000000-0005-0000-0000-0000C01A0000}"/>
    <cellStyle name="Accent6 - 40% 2 4 2" xfId="6849" xr:uid="{00000000-0005-0000-0000-0000C11A0000}"/>
    <cellStyle name="Accent6 - 40% 2 4 2 2" xfId="6850" xr:uid="{00000000-0005-0000-0000-0000C21A0000}"/>
    <cellStyle name="Accent6 - 40% 2 4 2 2 2" xfId="6851" xr:uid="{00000000-0005-0000-0000-0000C31A0000}"/>
    <cellStyle name="Accent6 - 40% 2 4 2 3" xfId="6852" xr:uid="{00000000-0005-0000-0000-0000C41A0000}"/>
    <cellStyle name="Accent6 - 40% 2 4 3" xfId="6853" xr:uid="{00000000-0005-0000-0000-0000C51A0000}"/>
    <cellStyle name="Accent6 - 40% 2 4 3 2" xfId="6854" xr:uid="{00000000-0005-0000-0000-0000C61A0000}"/>
    <cellStyle name="Accent6 - 40% 2 4 4" xfId="6855" xr:uid="{00000000-0005-0000-0000-0000C71A0000}"/>
    <cellStyle name="Accent6 - 40% 2 5" xfId="6856" xr:uid="{00000000-0005-0000-0000-0000C81A0000}"/>
    <cellStyle name="Accent6 - 40% 2 5 2" xfId="6857" xr:uid="{00000000-0005-0000-0000-0000C91A0000}"/>
    <cellStyle name="Accent6 - 40% 2 6" xfId="6858" xr:uid="{00000000-0005-0000-0000-0000CA1A0000}"/>
    <cellStyle name="Accent6 - 40% 2 6 2" xfId="6859" xr:uid="{00000000-0005-0000-0000-0000CB1A0000}"/>
    <cellStyle name="Accent6 - 40% 2 7" xfId="6860" xr:uid="{00000000-0005-0000-0000-0000CC1A0000}"/>
    <cellStyle name="Accent6 - 40% 3" xfId="6861" xr:uid="{00000000-0005-0000-0000-0000CD1A0000}"/>
    <cellStyle name="Accent6 - 40% 3 2" xfId="6862" xr:uid="{00000000-0005-0000-0000-0000CE1A0000}"/>
    <cellStyle name="Accent6 - 40% 3 2 2" xfId="6863" xr:uid="{00000000-0005-0000-0000-0000CF1A0000}"/>
    <cellStyle name="Accent6 - 40% 3 2 2 2" xfId="6864" xr:uid="{00000000-0005-0000-0000-0000D01A0000}"/>
    <cellStyle name="Accent6 - 40% 3 2 3" xfId="6865" xr:uid="{00000000-0005-0000-0000-0000D11A0000}"/>
    <cellStyle name="Accent6 - 40% 3 3" xfId="6866" xr:uid="{00000000-0005-0000-0000-0000D21A0000}"/>
    <cellStyle name="Accent6 - 40% 3 3 2" xfId="6867" xr:uid="{00000000-0005-0000-0000-0000D31A0000}"/>
    <cellStyle name="Accent6 - 40% 3 4" xfId="6868" xr:uid="{00000000-0005-0000-0000-0000D41A0000}"/>
    <cellStyle name="Accent6 - 40% 4" xfId="6869" xr:uid="{00000000-0005-0000-0000-0000D51A0000}"/>
    <cellStyle name="Accent6 - 40% 4 2" xfId="6870" xr:uid="{00000000-0005-0000-0000-0000D61A0000}"/>
    <cellStyle name="Accent6 - 40% 4 2 2" xfId="6871" xr:uid="{00000000-0005-0000-0000-0000D71A0000}"/>
    <cellStyle name="Accent6 - 40% 4 3" xfId="6872" xr:uid="{00000000-0005-0000-0000-0000D81A0000}"/>
    <cellStyle name="Accent6 - 40% 5" xfId="6873" xr:uid="{00000000-0005-0000-0000-0000D91A0000}"/>
    <cellStyle name="Accent6 - 40% 5 2" xfId="6874" xr:uid="{00000000-0005-0000-0000-0000DA1A0000}"/>
    <cellStyle name="Accent6 - 40% 5 2 2" xfId="6875" xr:uid="{00000000-0005-0000-0000-0000DB1A0000}"/>
    <cellStyle name="Accent6 - 40% 5 3" xfId="6876" xr:uid="{00000000-0005-0000-0000-0000DC1A0000}"/>
    <cellStyle name="Accent6 - 40% 6" xfId="6877" xr:uid="{00000000-0005-0000-0000-0000DD1A0000}"/>
    <cellStyle name="Accent6 - 40% 6 2" xfId="6878" xr:uid="{00000000-0005-0000-0000-0000DE1A0000}"/>
    <cellStyle name="Accent6 - 40% 7" xfId="6879" xr:uid="{00000000-0005-0000-0000-0000DF1A0000}"/>
    <cellStyle name="Accent6 - 40% 7 2" xfId="6880" xr:uid="{00000000-0005-0000-0000-0000E01A0000}"/>
    <cellStyle name="Accent6 - 40% 8" xfId="6881" xr:uid="{00000000-0005-0000-0000-0000E11A0000}"/>
    <cellStyle name="Accent6 - 40% 8 2" xfId="6882" xr:uid="{00000000-0005-0000-0000-0000E21A0000}"/>
    <cellStyle name="Accent6 - 40% 9" xfId="6883" xr:uid="{00000000-0005-0000-0000-0000E31A0000}"/>
    <cellStyle name="Accent6 - 40% 9 2" xfId="6884" xr:uid="{00000000-0005-0000-0000-0000E41A0000}"/>
    <cellStyle name="Accent6 - 60%" xfId="6885" xr:uid="{00000000-0005-0000-0000-0000E51A0000}"/>
    <cellStyle name="Accent6 - 60% 10" xfId="6886" xr:uid="{00000000-0005-0000-0000-0000E61A0000}"/>
    <cellStyle name="Accent6 - 60% 2" xfId="6887" xr:uid="{00000000-0005-0000-0000-0000E71A0000}"/>
    <cellStyle name="Accent6 - 60% 2 2" xfId="6888" xr:uid="{00000000-0005-0000-0000-0000E81A0000}"/>
    <cellStyle name="Accent6 - 60% 2 2 2" xfId="6889" xr:uid="{00000000-0005-0000-0000-0000E91A0000}"/>
    <cellStyle name="Accent6 - 60% 2 3" xfId="6890" xr:uid="{00000000-0005-0000-0000-0000EA1A0000}"/>
    <cellStyle name="Accent6 - 60% 2 3 2" xfId="6891" xr:uid="{00000000-0005-0000-0000-0000EB1A0000}"/>
    <cellStyle name="Accent6 - 60% 2 3 2 2" xfId="6892" xr:uid="{00000000-0005-0000-0000-0000EC1A0000}"/>
    <cellStyle name="Accent6 - 60% 2 3 3" xfId="6893" xr:uid="{00000000-0005-0000-0000-0000ED1A0000}"/>
    <cellStyle name="Accent6 - 60% 2 4" xfId="6894" xr:uid="{00000000-0005-0000-0000-0000EE1A0000}"/>
    <cellStyle name="Accent6 - 60% 2 4 2" xfId="6895" xr:uid="{00000000-0005-0000-0000-0000EF1A0000}"/>
    <cellStyle name="Accent6 - 60% 2 4 2 2" xfId="6896" xr:uid="{00000000-0005-0000-0000-0000F01A0000}"/>
    <cellStyle name="Accent6 - 60% 2 4 3" xfId="6897" xr:uid="{00000000-0005-0000-0000-0000F11A0000}"/>
    <cellStyle name="Accent6 - 60% 2 5" xfId="6898" xr:uid="{00000000-0005-0000-0000-0000F21A0000}"/>
    <cellStyle name="Accent6 - 60% 3" xfId="6899" xr:uid="{00000000-0005-0000-0000-0000F31A0000}"/>
    <cellStyle name="Accent6 - 60% 3 2" xfId="6900" xr:uid="{00000000-0005-0000-0000-0000F41A0000}"/>
    <cellStyle name="Accent6 - 60% 3 2 2" xfId="6901" xr:uid="{00000000-0005-0000-0000-0000F51A0000}"/>
    <cellStyle name="Accent6 - 60% 3 3" xfId="6902" xr:uid="{00000000-0005-0000-0000-0000F61A0000}"/>
    <cellStyle name="Accent6 - 60% 4" xfId="6903" xr:uid="{00000000-0005-0000-0000-0000F71A0000}"/>
    <cellStyle name="Accent6 - 60% 4 2" xfId="6904" xr:uid="{00000000-0005-0000-0000-0000F81A0000}"/>
    <cellStyle name="Accent6 - 60% 5" xfId="6905" xr:uid="{00000000-0005-0000-0000-0000F91A0000}"/>
    <cellStyle name="Accent6 - 60% 5 2" xfId="6906" xr:uid="{00000000-0005-0000-0000-0000FA1A0000}"/>
    <cellStyle name="Accent6 - 60% 6" xfId="6907" xr:uid="{00000000-0005-0000-0000-0000FB1A0000}"/>
    <cellStyle name="Accent6 - 60% 6 2" xfId="6908" xr:uid="{00000000-0005-0000-0000-0000FC1A0000}"/>
    <cellStyle name="Accent6 - 60% 6 2 2" xfId="6909" xr:uid="{00000000-0005-0000-0000-0000FD1A0000}"/>
    <cellStyle name="Accent6 - 60% 6 3" xfId="6910" xr:uid="{00000000-0005-0000-0000-0000FE1A0000}"/>
    <cellStyle name="Accent6 - 60% 7" xfId="6911" xr:uid="{00000000-0005-0000-0000-0000FF1A0000}"/>
    <cellStyle name="Accent6 - 60% 7 2" xfId="6912" xr:uid="{00000000-0005-0000-0000-0000001B0000}"/>
    <cellStyle name="Accent6 - 60% 8" xfId="6913" xr:uid="{00000000-0005-0000-0000-0000011B0000}"/>
    <cellStyle name="Accent6 - 60% 8 2" xfId="6914" xr:uid="{00000000-0005-0000-0000-0000021B0000}"/>
    <cellStyle name="Accent6 - 60% 9" xfId="6915" xr:uid="{00000000-0005-0000-0000-0000031B0000}"/>
    <cellStyle name="Accent6 10" xfId="6916" xr:uid="{00000000-0005-0000-0000-0000041B0000}"/>
    <cellStyle name="Accent6 10 2" xfId="6917" xr:uid="{00000000-0005-0000-0000-0000051B0000}"/>
    <cellStyle name="Accent6 10 2 2" xfId="6918" xr:uid="{00000000-0005-0000-0000-0000061B0000}"/>
    <cellStyle name="Accent6 10 3" xfId="6919" xr:uid="{00000000-0005-0000-0000-0000071B0000}"/>
    <cellStyle name="Accent6 100" xfId="6920" xr:uid="{00000000-0005-0000-0000-0000081B0000}"/>
    <cellStyle name="Accent6 100 2" xfId="6921" xr:uid="{00000000-0005-0000-0000-0000091B0000}"/>
    <cellStyle name="Accent6 100 2 2" xfId="6922" xr:uid="{00000000-0005-0000-0000-00000A1B0000}"/>
    <cellStyle name="Accent6 100 3" xfId="6923" xr:uid="{00000000-0005-0000-0000-00000B1B0000}"/>
    <cellStyle name="Accent6 101" xfId="6924" xr:uid="{00000000-0005-0000-0000-00000C1B0000}"/>
    <cellStyle name="Accent6 101 2" xfId="6925" xr:uid="{00000000-0005-0000-0000-00000D1B0000}"/>
    <cellStyle name="Accent6 101 2 2" xfId="6926" xr:uid="{00000000-0005-0000-0000-00000E1B0000}"/>
    <cellStyle name="Accent6 101 3" xfId="6927" xr:uid="{00000000-0005-0000-0000-00000F1B0000}"/>
    <cellStyle name="Accent6 102" xfId="6928" xr:uid="{00000000-0005-0000-0000-0000101B0000}"/>
    <cellStyle name="Accent6 102 2" xfId="6929" xr:uid="{00000000-0005-0000-0000-0000111B0000}"/>
    <cellStyle name="Accent6 103" xfId="6930" xr:uid="{00000000-0005-0000-0000-0000121B0000}"/>
    <cellStyle name="Accent6 103 2" xfId="6931" xr:uid="{00000000-0005-0000-0000-0000131B0000}"/>
    <cellStyle name="Accent6 104" xfId="6932" xr:uid="{00000000-0005-0000-0000-0000141B0000}"/>
    <cellStyle name="Accent6 104 2" xfId="6933" xr:uid="{00000000-0005-0000-0000-0000151B0000}"/>
    <cellStyle name="Accent6 104 2 2" xfId="6934" xr:uid="{00000000-0005-0000-0000-0000161B0000}"/>
    <cellStyle name="Accent6 104 3" xfId="6935" xr:uid="{00000000-0005-0000-0000-0000171B0000}"/>
    <cellStyle name="Accent6 105" xfId="6936" xr:uid="{00000000-0005-0000-0000-0000181B0000}"/>
    <cellStyle name="Accent6 105 2" xfId="6937" xr:uid="{00000000-0005-0000-0000-0000191B0000}"/>
    <cellStyle name="Accent6 105 2 2" xfId="6938" xr:uid="{00000000-0005-0000-0000-00001A1B0000}"/>
    <cellStyle name="Accent6 105 3" xfId="6939" xr:uid="{00000000-0005-0000-0000-00001B1B0000}"/>
    <cellStyle name="Accent6 106" xfId="6940" xr:uid="{00000000-0005-0000-0000-00001C1B0000}"/>
    <cellStyle name="Accent6 106 2" xfId="6941" xr:uid="{00000000-0005-0000-0000-00001D1B0000}"/>
    <cellStyle name="Accent6 106 2 2" xfId="6942" xr:uid="{00000000-0005-0000-0000-00001E1B0000}"/>
    <cellStyle name="Accent6 106 3" xfId="6943" xr:uid="{00000000-0005-0000-0000-00001F1B0000}"/>
    <cellStyle name="Accent6 107" xfId="6944" xr:uid="{00000000-0005-0000-0000-0000201B0000}"/>
    <cellStyle name="Accent6 107 2" xfId="6945" xr:uid="{00000000-0005-0000-0000-0000211B0000}"/>
    <cellStyle name="Accent6 107 2 2" xfId="6946" xr:uid="{00000000-0005-0000-0000-0000221B0000}"/>
    <cellStyle name="Accent6 107 3" xfId="6947" xr:uid="{00000000-0005-0000-0000-0000231B0000}"/>
    <cellStyle name="Accent6 108" xfId="6948" xr:uid="{00000000-0005-0000-0000-0000241B0000}"/>
    <cellStyle name="Accent6 108 2" xfId="6949" xr:uid="{00000000-0005-0000-0000-0000251B0000}"/>
    <cellStyle name="Accent6 108 2 2" xfId="6950" xr:uid="{00000000-0005-0000-0000-0000261B0000}"/>
    <cellStyle name="Accent6 108 3" xfId="6951" xr:uid="{00000000-0005-0000-0000-0000271B0000}"/>
    <cellStyle name="Accent6 109" xfId="6952" xr:uid="{00000000-0005-0000-0000-0000281B0000}"/>
    <cellStyle name="Accent6 109 2" xfId="6953" xr:uid="{00000000-0005-0000-0000-0000291B0000}"/>
    <cellStyle name="Accent6 109 2 2" xfId="6954" xr:uid="{00000000-0005-0000-0000-00002A1B0000}"/>
    <cellStyle name="Accent6 109 3" xfId="6955" xr:uid="{00000000-0005-0000-0000-00002B1B0000}"/>
    <cellStyle name="Accent6 11" xfId="6956" xr:uid="{00000000-0005-0000-0000-00002C1B0000}"/>
    <cellStyle name="Accent6 11 2" xfId="6957" xr:uid="{00000000-0005-0000-0000-00002D1B0000}"/>
    <cellStyle name="Accent6 11 2 2" xfId="6958" xr:uid="{00000000-0005-0000-0000-00002E1B0000}"/>
    <cellStyle name="Accent6 11 3" xfId="6959" xr:uid="{00000000-0005-0000-0000-00002F1B0000}"/>
    <cellStyle name="Accent6 110" xfId="6960" xr:uid="{00000000-0005-0000-0000-0000301B0000}"/>
    <cellStyle name="Accent6 110 2" xfId="6961" xr:uid="{00000000-0005-0000-0000-0000311B0000}"/>
    <cellStyle name="Accent6 110 2 2" xfId="6962" xr:uid="{00000000-0005-0000-0000-0000321B0000}"/>
    <cellStyle name="Accent6 110 3" xfId="6963" xr:uid="{00000000-0005-0000-0000-0000331B0000}"/>
    <cellStyle name="Accent6 111" xfId="6964" xr:uid="{00000000-0005-0000-0000-0000341B0000}"/>
    <cellStyle name="Accent6 111 2" xfId="6965" xr:uid="{00000000-0005-0000-0000-0000351B0000}"/>
    <cellStyle name="Accent6 111 2 2" xfId="6966" xr:uid="{00000000-0005-0000-0000-0000361B0000}"/>
    <cellStyle name="Accent6 111 3" xfId="6967" xr:uid="{00000000-0005-0000-0000-0000371B0000}"/>
    <cellStyle name="Accent6 112" xfId="6968" xr:uid="{00000000-0005-0000-0000-0000381B0000}"/>
    <cellStyle name="Accent6 112 2" xfId="6969" xr:uid="{00000000-0005-0000-0000-0000391B0000}"/>
    <cellStyle name="Accent6 112 2 2" xfId="6970" xr:uid="{00000000-0005-0000-0000-00003A1B0000}"/>
    <cellStyle name="Accent6 112 3" xfId="6971" xr:uid="{00000000-0005-0000-0000-00003B1B0000}"/>
    <cellStyle name="Accent6 113" xfId="6972" xr:uid="{00000000-0005-0000-0000-00003C1B0000}"/>
    <cellStyle name="Accent6 113 2" xfId="6973" xr:uid="{00000000-0005-0000-0000-00003D1B0000}"/>
    <cellStyle name="Accent6 113 2 2" xfId="6974" xr:uid="{00000000-0005-0000-0000-00003E1B0000}"/>
    <cellStyle name="Accent6 113 3" xfId="6975" xr:uid="{00000000-0005-0000-0000-00003F1B0000}"/>
    <cellStyle name="Accent6 114" xfId="6976" xr:uid="{00000000-0005-0000-0000-0000401B0000}"/>
    <cellStyle name="Accent6 114 2" xfId="6977" xr:uid="{00000000-0005-0000-0000-0000411B0000}"/>
    <cellStyle name="Accent6 115" xfId="6978" xr:uid="{00000000-0005-0000-0000-0000421B0000}"/>
    <cellStyle name="Accent6 115 2" xfId="6979" xr:uid="{00000000-0005-0000-0000-0000431B0000}"/>
    <cellStyle name="Accent6 116" xfId="6980" xr:uid="{00000000-0005-0000-0000-0000441B0000}"/>
    <cellStyle name="Accent6 116 2" xfId="6981" xr:uid="{00000000-0005-0000-0000-0000451B0000}"/>
    <cellStyle name="Accent6 117" xfId="6982" xr:uid="{00000000-0005-0000-0000-0000461B0000}"/>
    <cellStyle name="Accent6 117 2" xfId="6983" xr:uid="{00000000-0005-0000-0000-0000471B0000}"/>
    <cellStyle name="Accent6 118" xfId="6984" xr:uid="{00000000-0005-0000-0000-0000481B0000}"/>
    <cellStyle name="Accent6 118 2" xfId="6985" xr:uid="{00000000-0005-0000-0000-0000491B0000}"/>
    <cellStyle name="Accent6 119" xfId="6986" xr:uid="{00000000-0005-0000-0000-00004A1B0000}"/>
    <cellStyle name="Accent6 119 2" xfId="6987" xr:uid="{00000000-0005-0000-0000-00004B1B0000}"/>
    <cellStyle name="Accent6 12" xfId="6988" xr:uid="{00000000-0005-0000-0000-00004C1B0000}"/>
    <cellStyle name="Accent6 12 2" xfId="6989" xr:uid="{00000000-0005-0000-0000-00004D1B0000}"/>
    <cellStyle name="Accent6 12 2 2" xfId="6990" xr:uid="{00000000-0005-0000-0000-00004E1B0000}"/>
    <cellStyle name="Accent6 12 3" xfId="6991" xr:uid="{00000000-0005-0000-0000-00004F1B0000}"/>
    <cellStyle name="Accent6 120" xfId="6992" xr:uid="{00000000-0005-0000-0000-0000501B0000}"/>
    <cellStyle name="Accent6 120 2" xfId="6993" xr:uid="{00000000-0005-0000-0000-0000511B0000}"/>
    <cellStyle name="Accent6 121" xfId="6994" xr:uid="{00000000-0005-0000-0000-0000521B0000}"/>
    <cellStyle name="Accent6 121 2" xfId="6995" xr:uid="{00000000-0005-0000-0000-0000531B0000}"/>
    <cellStyle name="Accent6 122" xfId="6996" xr:uid="{00000000-0005-0000-0000-0000541B0000}"/>
    <cellStyle name="Accent6 122 2" xfId="6997" xr:uid="{00000000-0005-0000-0000-0000551B0000}"/>
    <cellStyle name="Accent6 123" xfId="6998" xr:uid="{00000000-0005-0000-0000-0000561B0000}"/>
    <cellStyle name="Accent6 123 2" xfId="6999" xr:uid="{00000000-0005-0000-0000-0000571B0000}"/>
    <cellStyle name="Accent6 124" xfId="7000" xr:uid="{00000000-0005-0000-0000-0000581B0000}"/>
    <cellStyle name="Accent6 124 2" xfId="7001" xr:uid="{00000000-0005-0000-0000-0000591B0000}"/>
    <cellStyle name="Accent6 125" xfId="7002" xr:uid="{00000000-0005-0000-0000-00005A1B0000}"/>
    <cellStyle name="Accent6 125 2" xfId="7003" xr:uid="{00000000-0005-0000-0000-00005B1B0000}"/>
    <cellStyle name="Accent6 126" xfId="7004" xr:uid="{00000000-0005-0000-0000-00005C1B0000}"/>
    <cellStyle name="Accent6 127" xfId="7005" xr:uid="{00000000-0005-0000-0000-00005D1B0000}"/>
    <cellStyle name="Accent6 128" xfId="7006" xr:uid="{00000000-0005-0000-0000-00005E1B0000}"/>
    <cellStyle name="Accent6 129" xfId="7007" xr:uid="{00000000-0005-0000-0000-00005F1B0000}"/>
    <cellStyle name="Accent6 13" xfId="7008" xr:uid="{00000000-0005-0000-0000-0000601B0000}"/>
    <cellStyle name="Accent6 13 2" xfId="7009" xr:uid="{00000000-0005-0000-0000-0000611B0000}"/>
    <cellStyle name="Accent6 13 2 2" xfId="7010" xr:uid="{00000000-0005-0000-0000-0000621B0000}"/>
    <cellStyle name="Accent6 13 3" xfId="7011" xr:uid="{00000000-0005-0000-0000-0000631B0000}"/>
    <cellStyle name="Accent6 130" xfId="7012" xr:uid="{00000000-0005-0000-0000-0000641B0000}"/>
    <cellStyle name="Accent6 131" xfId="7013" xr:uid="{00000000-0005-0000-0000-0000651B0000}"/>
    <cellStyle name="Accent6 132" xfId="7014" xr:uid="{00000000-0005-0000-0000-0000661B0000}"/>
    <cellStyle name="Accent6 133" xfId="7015" xr:uid="{00000000-0005-0000-0000-0000671B0000}"/>
    <cellStyle name="Accent6 134" xfId="7016" xr:uid="{00000000-0005-0000-0000-0000681B0000}"/>
    <cellStyle name="Accent6 135" xfId="7017" xr:uid="{00000000-0005-0000-0000-0000691B0000}"/>
    <cellStyle name="Accent6 136" xfId="7018" xr:uid="{00000000-0005-0000-0000-00006A1B0000}"/>
    <cellStyle name="Accent6 137" xfId="7019" xr:uid="{00000000-0005-0000-0000-00006B1B0000}"/>
    <cellStyle name="Accent6 138" xfId="7020" xr:uid="{00000000-0005-0000-0000-00006C1B0000}"/>
    <cellStyle name="Accent6 139" xfId="7021" xr:uid="{00000000-0005-0000-0000-00006D1B0000}"/>
    <cellStyle name="Accent6 14" xfId="7022" xr:uid="{00000000-0005-0000-0000-00006E1B0000}"/>
    <cellStyle name="Accent6 14 2" xfId="7023" xr:uid="{00000000-0005-0000-0000-00006F1B0000}"/>
    <cellStyle name="Accent6 14 2 2" xfId="7024" xr:uid="{00000000-0005-0000-0000-0000701B0000}"/>
    <cellStyle name="Accent6 14 3" xfId="7025" xr:uid="{00000000-0005-0000-0000-0000711B0000}"/>
    <cellStyle name="Accent6 140" xfId="7026" xr:uid="{00000000-0005-0000-0000-0000721B0000}"/>
    <cellStyle name="Accent6 141" xfId="7027" xr:uid="{00000000-0005-0000-0000-0000731B0000}"/>
    <cellStyle name="Accent6 142" xfId="7028" xr:uid="{00000000-0005-0000-0000-0000741B0000}"/>
    <cellStyle name="Accent6 143" xfId="7029" xr:uid="{00000000-0005-0000-0000-0000751B0000}"/>
    <cellStyle name="Accent6 144" xfId="7030" xr:uid="{00000000-0005-0000-0000-0000761B0000}"/>
    <cellStyle name="Accent6 145" xfId="7031" xr:uid="{00000000-0005-0000-0000-0000771B0000}"/>
    <cellStyle name="Accent6 146" xfId="7032" xr:uid="{00000000-0005-0000-0000-0000781B0000}"/>
    <cellStyle name="Accent6 147" xfId="7033" xr:uid="{00000000-0005-0000-0000-0000791B0000}"/>
    <cellStyle name="Accent6 148" xfId="7034" xr:uid="{00000000-0005-0000-0000-00007A1B0000}"/>
    <cellStyle name="Accent6 149" xfId="7035" xr:uid="{00000000-0005-0000-0000-00007B1B0000}"/>
    <cellStyle name="Accent6 15" xfId="7036" xr:uid="{00000000-0005-0000-0000-00007C1B0000}"/>
    <cellStyle name="Accent6 15 2" xfId="7037" xr:uid="{00000000-0005-0000-0000-00007D1B0000}"/>
    <cellStyle name="Accent6 15 2 2" xfId="7038" xr:uid="{00000000-0005-0000-0000-00007E1B0000}"/>
    <cellStyle name="Accent6 15 3" xfId="7039" xr:uid="{00000000-0005-0000-0000-00007F1B0000}"/>
    <cellStyle name="Accent6 150" xfId="7040" xr:uid="{00000000-0005-0000-0000-0000801B0000}"/>
    <cellStyle name="Accent6 151" xfId="7041" xr:uid="{00000000-0005-0000-0000-0000811B0000}"/>
    <cellStyle name="Accent6 152" xfId="7042" xr:uid="{00000000-0005-0000-0000-0000821B0000}"/>
    <cellStyle name="Accent6 153" xfId="7043" xr:uid="{00000000-0005-0000-0000-0000831B0000}"/>
    <cellStyle name="Accent6 154" xfId="7044" xr:uid="{00000000-0005-0000-0000-0000841B0000}"/>
    <cellStyle name="Accent6 155" xfId="7045" xr:uid="{00000000-0005-0000-0000-0000851B0000}"/>
    <cellStyle name="Accent6 156" xfId="7046" xr:uid="{00000000-0005-0000-0000-0000861B0000}"/>
    <cellStyle name="Accent6 157" xfId="7047" xr:uid="{00000000-0005-0000-0000-0000871B0000}"/>
    <cellStyle name="Accent6 158" xfId="7048" xr:uid="{00000000-0005-0000-0000-0000881B0000}"/>
    <cellStyle name="Accent6 159" xfId="7049" xr:uid="{00000000-0005-0000-0000-0000891B0000}"/>
    <cellStyle name="Accent6 16" xfId="7050" xr:uid="{00000000-0005-0000-0000-00008A1B0000}"/>
    <cellStyle name="Accent6 16 2" xfId="7051" xr:uid="{00000000-0005-0000-0000-00008B1B0000}"/>
    <cellStyle name="Accent6 16 2 2" xfId="7052" xr:uid="{00000000-0005-0000-0000-00008C1B0000}"/>
    <cellStyle name="Accent6 16 3" xfId="7053" xr:uid="{00000000-0005-0000-0000-00008D1B0000}"/>
    <cellStyle name="Accent6 160" xfId="7054" xr:uid="{00000000-0005-0000-0000-00008E1B0000}"/>
    <cellStyle name="Accent6 161" xfId="7055" xr:uid="{00000000-0005-0000-0000-00008F1B0000}"/>
    <cellStyle name="Accent6 162" xfId="7056" xr:uid="{00000000-0005-0000-0000-0000901B0000}"/>
    <cellStyle name="Accent6 163" xfId="7057" xr:uid="{00000000-0005-0000-0000-0000911B0000}"/>
    <cellStyle name="Accent6 164" xfId="7058" xr:uid="{00000000-0005-0000-0000-0000921B0000}"/>
    <cellStyle name="Accent6 165" xfId="7059" xr:uid="{00000000-0005-0000-0000-0000931B0000}"/>
    <cellStyle name="Accent6 166" xfId="7060" xr:uid="{00000000-0005-0000-0000-0000941B0000}"/>
    <cellStyle name="Accent6 167" xfId="7061" xr:uid="{00000000-0005-0000-0000-0000951B0000}"/>
    <cellStyle name="Accent6 168" xfId="7062" xr:uid="{00000000-0005-0000-0000-0000961B0000}"/>
    <cellStyle name="Accent6 169" xfId="7063" xr:uid="{00000000-0005-0000-0000-0000971B0000}"/>
    <cellStyle name="Accent6 17" xfId="7064" xr:uid="{00000000-0005-0000-0000-0000981B0000}"/>
    <cellStyle name="Accent6 17 2" xfId="7065" xr:uid="{00000000-0005-0000-0000-0000991B0000}"/>
    <cellStyle name="Accent6 17 2 2" xfId="7066" xr:uid="{00000000-0005-0000-0000-00009A1B0000}"/>
    <cellStyle name="Accent6 17 3" xfId="7067" xr:uid="{00000000-0005-0000-0000-00009B1B0000}"/>
    <cellStyle name="Accent6 170" xfId="7068" xr:uid="{00000000-0005-0000-0000-00009C1B0000}"/>
    <cellStyle name="Accent6 171" xfId="7069" xr:uid="{00000000-0005-0000-0000-00009D1B0000}"/>
    <cellStyle name="Accent6 172" xfId="7070" xr:uid="{00000000-0005-0000-0000-00009E1B0000}"/>
    <cellStyle name="Accent6 173" xfId="7071" xr:uid="{00000000-0005-0000-0000-00009F1B0000}"/>
    <cellStyle name="Accent6 174" xfId="7072" xr:uid="{00000000-0005-0000-0000-0000A01B0000}"/>
    <cellStyle name="Accent6 175" xfId="7073" xr:uid="{00000000-0005-0000-0000-0000A11B0000}"/>
    <cellStyle name="Accent6 176" xfId="7074" xr:uid="{00000000-0005-0000-0000-0000A21B0000}"/>
    <cellStyle name="Accent6 177" xfId="7075" xr:uid="{00000000-0005-0000-0000-0000A31B0000}"/>
    <cellStyle name="Accent6 178" xfId="7076" xr:uid="{00000000-0005-0000-0000-0000A41B0000}"/>
    <cellStyle name="Accent6 179" xfId="7077" xr:uid="{00000000-0005-0000-0000-0000A51B0000}"/>
    <cellStyle name="Accent6 18" xfId="7078" xr:uid="{00000000-0005-0000-0000-0000A61B0000}"/>
    <cellStyle name="Accent6 18 2" xfId="7079" xr:uid="{00000000-0005-0000-0000-0000A71B0000}"/>
    <cellStyle name="Accent6 18 2 2" xfId="7080" xr:uid="{00000000-0005-0000-0000-0000A81B0000}"/>
    <cellStyle name="Accent6 18 3" xfId="7081" xr:uid="{00000000-0005-0000-0000-0000A91B0000}"/>
    <cellStyle name="Accent6 19" xfId="7082" xr:uid="{00000000-0005-0000-0000-0000AA1B0000}"/>
    <cellStyle name="Accent6 19 2" xfId="7083" xr:uid="{00000000-0005-0000-0000-0000AB1B0000}"/>
    <cellStyle name="Accent6 19 2 2" xfId="7084" xr:uid="{00000000-0005-0000-0000-0000AC1B0000}"/>
    <cellStyle name="Accent6 19 3" xfId="7085" xr:uid="{00000000-0005-0000-0000-0000AD1B0000}"/>
    <cellStyle name="Accent6 2" xfId="7086" xr:uid="{00000000-0005-0000-0000-0000AE1B0000}"/>
    <cellStyle name="Accent6 2 10" xfId="7087" xr:uid="{00000000-0005-0000-0000-0000AF1B0000}"/>
    <cellStyle name="Accent6 2 10 2" xfId="7088" xr:uid="{00000000-0005-0000-0000-0000B01B0000}"/>
    <cellStyle name="Accent6 2 11" xfId="7089" xr:uid="{00000000-0005-0000-0000-0000B11B0000}"/>
    <cellStyle name="Accent6 2 12" xfId="7090" xr:uid="{00000000-0005-0000-0000-0000B21B0000}"/>
    <cellStyle name="Accent6 2 2" xfId="7091" xr:uid="{00000000-0005-0000-0000-0000B31B0000}"/>
    <cellStyle name="Accent6 2 2 2" xfId="7092" xr:uid="{00000000-0005-0000-0000-0000B41B0000}"/>
    <cellStyle name="Accent6 2 2 2 2" xfId="7093" xr:uid="{00000000-0005-0000-0000-0000B51B0000}"/>
    <cellStyle name="Accent6 2 2 3" xfId="7094" xr:uid="{00000000-0005-0000-0000-0000B61B0000}"/>
    <cellStyle name="Accent6 2 2 3 2" xfId="7095" xr:uid="{00000000-0005-0000-0000-0000B71B0000}"/>
    <cellStyle name="Accent6 2 2 3 2 2" xfId="7096" xr:uid="{00000000-0005-0000-0000-0000B81B0000}"/>
    <cellStyle name="Accent6 2 2 3 3" xfId="7097" xr:uid="{00000000-0005-0000-0000-0000B91B0000}"/>
    <cellStyle name="Accent6 2 2 4" xfId="7098" xr:uid="{00000000-0005-0000-0000-0000BA1B0000}"/>
    <cellStyle name="Accent6 2 3" xfId="7099" xr:uid="{00000000-0005-0000-0000-0000BB1B0000}"/>
    <cellStyle name="Accent6 2 3 2" xfId="7100" xr:uid="{00000000-0005-0000-0000-0000BC1B0000}"/>
    <cellStyle name="Accent6 2 3 2 2" xfId="7101" xr:uid="{00000000-0005-0000-0000-0000BD1B0000}"/>
    <cellStyle name="Accent6 2 3 3" xfId="7102" xr:uid="{00000000-0005-0000-0000-0000BE1B0000}"/>
    <cellStyle name="Accent6 2 3 3 2" xfId="7103" xr:uid="{00000000-0005-0000-0000-0000BF1B0000}"/>
    <cellStyle name="Accent6 2 3 3 2 2" xfId="7104" xr:uid="{00000000-0005-0000-0000-0000C01B0000}"/>
    <cellStyle name="Accent6 2 3 3 3" xfId="7105" xr:uid="{00000000-0005-0000-0000-0000C11B0000}"/>
    <cellStyle name="Accent6 2 3 4" xfId="7106" xr:uid="{00000000-0005-0000-0000-0000C21B0000}"/>
    <cellStyle name="Accent6 2 4" xfId="7107" xr:uid="{00000000-0005-0000-0000-0000C31B0000}"/>
    <cellStyle name="Accent6 2 4 2" xfId="7108" xr:uid="{00000000-0005-0000-0000-0000C41B0000}"/>
    <cellStyle name="Accent6 2 4 2 2" xfId="7109" xr:uid="{00000000-0005-0000-0000-0000C51B0000}"/>
    <cellStyle name="Accent6 2 4 3" xfId="7110" xr:uid="{00000000-0005-0000-0000-0000C61B0000}"/>
    <cellStyle name="Accent6 2 5" xfId="7111" xr:uid="{00000000-0005-0000-0000-0000C71B0000}"/>
    <cellStyle name="Accent6 2 5 2" xfId="7112" xr:uid="{00000000-0005-0000-0000-0000C81B0000}"/>
    <cellStyle name="Accent6 2 5 2 2" xfId="7113" xr:uid="{00000000-0005-0000-0000-0000C91B0000}"/>
    <cellStyle name="Accent6 2 5 3" xfId="7114" xr:uid="{00000000-0005-0000-0000-0000CA1B0000}"/>
    <cellStyle name="Accent6 2 5 3 2" xfId="7115" xr:uid="{00000000-0005-0000-0000-0000CB1B0000}"/>
    <cellStyle name="Accent6 2 5 3 2 2" xfId="7116" xr:uid="{00000000-0005-0000-0000-0000CC1B0000}"/>
    <cellStyle name="Accent6 2 5 3 3" xfId="7117" xr:uid="{00000000-0005-0000-0000-0000CD1B0000}"/>
    <cellStyle name="Accent6 2 5 4" xfId="7118" xr:uid="{00000000-0005-0000-0000-0000CE1B0000}"/>
    <cellStyle name="Accent6 2 6" xfId="7119" xr:uid="{00000000-0005-0000-0000-0000CF1B0000}"/>
    <cellStyle name="Accent6 2 6 2" xfId="7120" xr:uid="{00000000-0005-0000-0000-0000D01B0000}"/>
    <cellStyle name="Accent6 2 6 2 2" xfId="7121" xr:uid="{00000000-0005-0000-0000-0000D11B0000}"/>
    <cellStyle name="Accent6 2 6 3" xfId="7122" xr:uid="{00000000-0005-0000-0000-0000D21B0000}"/>
    <cellStyle name="Accent6 2 6 3 2" xfId="7123" xr:uid="{00000000-0005-0000-0000-0000D31B0000}"/>
    <cellStyle name="Accent6 2 6 4" xfId="7124" xr:uid="{00000000-0005-0000-0000-0000D41B0000}"/>
    <cellStyle name="Accent6 2 7" xfId="7125" xr:uid="{00000000-0005-0000-0000-0000D51B0000}"/>
    <cellStyle name="Accent6 2 7 2" xfId="7126" xr:uid="{00000000-0005-0000-0000-0000D61B0000}"/>
    <cellStyle name="Accent6 2 8" xfId="7127" xr:uid="{00000000-0005-0000-0000-0000D71B0000}"/>
    <cellStyle name="Accent6 2 8 2" xfId="7128" xr:uid="{00000000-0005-0000-0000-0000D81B0000}"/>
    <cellStyle name="Accent6 2 8 2 2" xfId="7129" xr:uid="{00000000-0005-0000-0000-0000D91B0000}"/>
    <cellStyle name="Accent6 2 8 3" xfId="7130" xr:uid="{00000000-0005-0000-0000-0000DA1B0000}"/>
    <cellStyle name="Accent6 2 9" xfId="7131" xr:uid="{00000000-0005-0000-0000-0000DB1B0000}"/>
    <cellStyle name="Accent6 2 9 2" xfId="7132" xr:uid="{00000000-0005-0000-0000-0000DC1B0000}"/>
    <cellStyle name="Accent6 2 9 2 2" xfId="7133" xr:uid="{00000000-0005-0000-0000-0000DD1B0000}"/>
    <cellStyle name="Accent6 2 9 3" xfId="7134" xr:uid="{00000000-0005-0000-0000-0000DE1B0000}"/>
    <cellStyle name="Accent6 20" xfId="7135" xr:uid="{00000000-0005-0000-0000-0000DF1B0000}"/>
    <cellStyle name="Accent6 20 2" xfId="7136" xr:uid="{00000000-0005-0000-0000-0000E01B0000}"/>
    <cellStyle name="Accent6 20 2 2" xfId="7137" xr:uid="{00000000-0005-0000-0000-0000E11B0000}"/>
    <cellStyle name="Accent6 20 3" xfId="7138" xr:uid="{00000000-0005-0000-0000-0000E21B0000}"/>
    <cellStyle name="Accent6 21" xfId="7139" xr:uid="{00000000-0005-0000-0000-0000E31B0000}"/>
    <cellStyle name="Accent6 21 2" xfId="7140" xr:uid="{00000000-0005-0000-0000-0000E41B0000}"/>
    <cellStyle name="Accent6 21 2 2" xfId="7141" xr:uid="{00000000-0005-0000-0000-0000E51B0000}"/>
    <cellStyle name="Accent6 21 3" xfId="7142" xr:uid="{00000000-0005-0000-0000-0000E61B0000}"/>
    <cellStyle name="Accent6 22" xfId="7143" xr:uid="{00000000-0005-0000-0000-0000E71B0000}"/>
    <cellStyle name="Accent6 22 2" xfId="7144" xr:uid="{00000000-0005-0000-0000-0000E81B0000}"/>
    <cellStyle name="Accent6 22 2 2" xfId="7145" xr:uid="{00000000-0005-0000-0000-0000E91B0000}"/>
    <cellStyle name="Accent6 22 3" xfId="7146" xr:uid="{00000000-0005-0000-0000-0000EA1B0000}"/>
    <cellStyle name="Accent6 23" xfId="7147" xr:uid="{00000000-0005-0000-0000-0000EB1B0000}"/>
    <cellStyle name="Accent6 23 2" xfId="7148" xr:uid="{00000000-0005-0000-0000-0000EC1B0000}"/>
    <cellStyle name="Accent6 23 2 2" xfId="7149" xr:uid="{00000000-0005-0000-0000-0000ED1B0000}"/>
    <cellStyle name="Accent6 23 3" xfId="7150" xr:uid="{00000000-0005-0000-0000-0000EE1B0000}"/>
    <cellStyle name="Accent6 24" xfId="7151" xr:uid="{00000000-0005-0000-0000-0000EF1B0000}"/>
    <cellStyle name="Accent6 24 2" xfId="7152" xr:uid="{00000000-0005-0000-0000-0000F01B0000}"/>
    <cellStyle name="Accent6 24 2 2" xfId="7153" xr:uid="{00000000-0005-0000-0000-0000F11B0000}"/>
    <cellStyle name="Accent6 24 3" xfId="7154" xr:uid="{00000000-0005-0000-0000-0000F21B0000}"/>
    <cellStyle name="Accent6 25" xfId="7155" xr:uid="{00000000-0005-0000-0000-0000F31B0000}"/>
    <cellStyle name="Accent6 25 2" xfId="7156" xr:uid="{00000000-0005-0000-0000-0000F41B0000}"/>
    <cellStyle name="Accent6 25 2 2" xfId="7157" xr:uid="{00000000-0005-0000-0000-0000F51B0000}"/>
    <cellStyle name="Accent6 25 3" xfId="7158" xr:uid="{00000000-0005-0000-0000-0000F61B0000}"/>
    <cellStyle name="Accent6 26" xfId="7159" xr:uid="{00000000-0005-0000-0000-0000F71B0000}"/>
    <cellStyle name="Accent6 26 2" xfId="7160" xr:uid="{00000000-0005-0000-0000-0000F81B0000}"/>
    <cellStyle name="Accent6 26 2 2" xfId="7161" xr:uid="{00000000-0005-0000-0000-0000F91B0000}"/>
    <cellStyle name="Accent6 26 3" xfId="7162" xr:uid="{00000000-0005-0000-0000-0000FA1B0000}"/>
    <cellStyle name="Accent6 27" xfId="7163" xr:uid="{00000000-0005-0000-0000-0000FB1B0000}"/>
    <cellStyle name="Accent6 27 2" xfId="7164" xr:uid="{00000000-0005-0000-0000-0000FC1B0000}"/>
    <cellStyle name="Accent6 27 2 2" xfId="7165" xr:uid="{00000000-0005-0000-0000-0000FD1B0000}"/>
    <cellStyle name="Accent6 27 3" xfId="7166" xr:uid="{00000000-0005-0000-0000-0000FE1B0000}"/>
    <cellStyle name="Accent6 28" xfId="7167" xr:uid="{00000000-0005-0000-0000-0000FF1B0000}"/>
    <cellStyle name="Accent6 28 2" xfId="7168" xr:uid="{00000000-0005-0000-0000-0000001C0000}"/>
    <cellStyle name="Accent6 28 2 2" xfId="7169" xr:uid="{00000000-0005-0000-0000-0000011C0000}"/>
    <cellStyle name="Accent6 28 3" xfId="7170" xr:uid="{00000000-0005-0000-0000-0000021C0000}"/>
    <cellStyle name="Accent6 29" xfId="7171" xr:uid="{00000000-0005-0000-0000-0000031C0000}"/>
    <cellStyle name="Accent6 29 2" xfId="7172" xr:uid="{00000000-0005-0000-0000-0000041C0000}"/>
    <cellStyle name="Accent6 29 2 2" xfId="7173" xr:uid="{00000000-0005-0000-0000-0000051C0000}"/>
    <cellStyle name="Accent6 29 3" xfId="7174" xr:uid="{00000000-0005-0000-0000-0000061C0000}"/>
    <cellStyle name="Accent6 3" xfId="7175" xr:uid="{00000000-0005-0000-0000-0000071C0000}"/>
    <cellStyle name="Accent6 3 10" xfId="7176" xr:uid="{00000000-0005-0000-0000-0000081C0000}"/>
    <cellStyle name="Accent6 3 10 2" xfId="7177" xr:uid="{00000000-0005-0000-0000-0000091C0000}"/>
    <cellStyle name="Accent6 3 10 2 2" xfId="7178" xr:uid="{00000000-0005-0000-0000-00000A1C0000}"/>
    <cellStyle name="Accent6 3 10 3" xfId="7179" xr:uid="{00000000-0005-0000-0000-00000B1C0000}"/>
    <cellStyle name="Accent6 3 11" xfId="7180" xr:uid="{00000000-0005-0000-0000-00000C1C0000}"/>
    <cellStyle name="Accent6 3 11 2" xfId="7181" xr:uid="{00000000-0005-0000-0000-00000D1C0000}"/>
    <cellStyle name="Accent6 3 12" xfId="7182" xr:uid="{00000000-0005-0000-0000-00000E1C0000}"/>
    <cellStyle name="Accent6 3 2" xfId="7183" xr:uid="{00000000-0005-0000-0000-00000F1C0000}"/>
    <cellStyle name="Accent6 3 2 2" xfId="7184" xr:uid="{00000000-0005-0000-0000-0000101C0000}"/>
    <cellStyle name="Accent6 3 2 2 2" xfId="7185" xr:uid="{00000000-0005-0000-0000-0000111C0000}"/>
    <cellStyle name="Accent6 3 2 3" xfId="7186" xr:uid="{00000000-0005-0000-0000-0000121C0000}"/>
    <cellStyle name="Accent6 3 2 3 2" xfId="7187" xr:uid="{00000000-0005-0000-0000-0000131C0000}"/>
    <cellStyle name="Accent6 3 2 3 2 2" xfId="7188" xr:uid="{00000000-0005-0000-0000-0000141C0000}"/>
    <cellStyle name="Accent6 3 2 3 3" xfId="7189" xr:uid="{00000000-0005-0000-0000-0000151C0000}"/>
    <cellStyle name="Accent6 3 2 4" xfId="7190" xr:uid="{00000000-0005-0000-0000-0000161C0000}"/>
    <cellStyle name="Accent6 3 3" xfId="7191" xr:uid="{00000000-0005-0000-0000-0000171C0000}"/>
    <cellStyle name="Accent6 3 3 2" xfId="7192" xr:uid="{00000000-0005-0000-0000-0000181C0000}"/>
    <cellStyle name="Accent6 3 3 2 2" xfId="7193" xr:uid="{00000000-0005-0000-0000-0000191C0000}"/>
    <cellStyle name="Accent6 3 3 3" xfId="7194" xr:uid="{00000000-0005-0000-0000-00001A1C0000}"/>
    <cellStyle name="Accent6 3 3 3 2" xfId="7195" xr:uid="{00000000-0005-0000-0000-00001B1C0000}"/>
    <cellStyle name="Accent6 3 3 3 2 2" xfId="7196" xr:uid="{00000000-0005-0000-0000-00001C1C0000}"/>
    <cellStyle name="Accent6 3 3 3 3" xfId="7197" xr:uid="{00000000-0005-0000-0000-00001D1C0000}"/>
    <cellStyle name="Accent6 3 3 4" xfId="7198" xr:uid="{00000000-0005-0000-0000-00001E1C0000}"/>
    <cellStyle name="Accent6 3 4" xfId="7199" xr:uid="{00000000-0005-0000-0000-00001F1C0000}"/>
    <cellStyle name="Accent6 3 4 2" xfId="7200" xr:uid="{00000000-0005-0000-0000-0000201C0000}"/>
    <cellStyle name="Accent6 3 4 2 2" xfId="7201" xr:uid="{00000000-0005-0000-0000-0000211C0000}"/>
    <cellStyle name="Accent6 3 4 3" xfId="7202" xr:uid="{00000000-0005-0000-0000-0000221C0000}"/>
    <cellStyle name="Accent6 3 5" xfId="7203" xr:uid="{00000000-0005-0000-0000-0000231C0000}"/>
    <cellStyle name="Accent6 3 5 2" xfId="7204" xr:uid="{00000000-0005-0000-0000-0000241C0000}"/>
    <cellStyle name="Accent6 3 5 2 2" xfId="7205" xr:uid="{00000000-0005-0000-0000-0000251C0000}"/>
    <cellStyle name="Accent6 3 5 3" xfId="7206" xr:uid="{00000000-0005-0000-0000-0000261C0000}"/>
    <cellStyle name="Accent6 3 5 3 2" xfId="7207" xr:uid="{00000000-0005-0000-0000-0000271C0000}"/>
    <cellStyle name="Accent6 3 5 3 2 2" xfId="7208" xr:uid="{00000000-0005-0000-0000-0000281C0000}"/>
    <cellStyle name="Accent6 3 5 3 3" xfId="7209" xr:uid="{00000000-0005-0000-0000-0000291C0000}"/>
    <cellStyle name="Accent6 3 5 4" xfId="7210" xr:uid="{00000000-0005-0000-0000-00002A1C0000}"/>
    <cellStyle name="Accent6 3 6" xfId="7211" xr:uid="{00000000-0005-0000-0000-00002B1C0000}"/>
    <cellStyle name="Accent6 3 6 2" xfId="7212" xr:uid="{00000000-0005-0000-0000-00002C1C0000}"/>
    <cellStyle name="Accent6 3 7" xfId="7213" xr:uid="{00000000-0005-0000-0000-00002D1C0000}"/>
    <cellStyle name="Accent6 3 7 2" xfId="7214" xr:uid="{00000000-0005-0000-0000-00002E1C0000}"/>
    <cellStyle name="Accent6 3 8" xfId="7215" xr:uid="{00000000-0005-0000-0000-00002F1C0000}"/>
    <cellStyle name="Accent6 3 8 2" xfId="7216" xr:uid="{00000000-0005-0000-0000-0000301C0000}"/>
    <cellStyle name="Accent6 3 8 2 2" xfId="7217" xr:uid="{00000000-0005-0000-0000-0000311C0000}"/>
    <cellStyle name="Accent6 3 8 3" xfId="7218" xr:uid="{00000000-0005-0000-0000-0000321C0000}"/>
    <cellStyle name="Accent6 3 9" xfId="7219" xr:uid="{00000000-0005-0000-0000-0000331C0000}"/>
    <cellStyle name="Accent6 3 9 2" xfId="7220" xr:uid="{00000000-0005-0000-0000-0000341C0000}"/>
    <cellStyle name="Accent6 3 9 2 2" xfId="7221" xr:uid="{00000000-0005-0000-0000-0000351C0000}"/>
    <cellStyle name="Accent6 3 9 3" xfId="7222" xr:uid="{00000000-0005-0000-0000-0000361C0000}"/>
    <cellStyle name="Accent6 30" xfId="7223" xr:uid="{00000000-0005-0000-0000-0000371C0000}"/>
    <cellStyle name="Accent6 30 2" xfId="7224" xr:uid="{00000000-0005-0000-0000-0000381C0000}"/>
    <cellStyle name="Accent6 30 2 2" xfId="7225" xr:uid="{00000000-0005-0000-0000-0000391C0000}"/>
    <cellStyle name="Accent6 30 3" xfId="7226" xr:uid="{00000000-0005-0000-0000-00003A1C0000}"/>
    <cellStyle name="Accent6 31" xfId="7227" xr:uid="{00000000-0005-0000-0000-00003B1C0000}"/>
    <cellStyle name="Accent6 31 2" xfId="7228" xr:uid="{00000000-0005-0000-0000-00003C1C0000}"/>
    <cellStyle name="Accent6 31 2 2" xfId="7229" xr:uid="{00000000-0005-0000-0000-00003D1C0000}"/>
    <cellStyle name="Accent6 31 3" xfId="7230" xr:uid="{00000000-0005-0000-0000-00003E1C0000}"/>
    <cellStyle name="Accent6 32" xfId="7231" xr:uid="{00000000-0005-0000-0000-00003F1C0000}"/>
    <cellStyle name="Accent6 32 2" xfId="7232" xr:uid="{00000000-0005-0000-0000-0000401C0000}"/>
    <cellStyle name="Accent6 32 2 2" xfId="7233" xr:uid="{00000000-0005-0000-0000-0000411C0000}"/>
    <cellStyle name="Accent6 32 3" xfId="7234" xr:uid="{00000000-0005-0000-0000-0000421C0000}"/>
    <cellStyle name="Accent6 33" xfId="7235" xr:uid="{00000000-0005-0000-0000-0000431C0000}"/>
    <cellStyle name="Accent6 33 2" xfId="7236" xr:uid="{00000000-0005-0000-0000-0000441C0000}"/>
    <cellStyle name="Accent6 33 2 2" xfId="7237" xr:uid="{00000000-0005-0000-0000-0000451C0000}"/>
    <cellStyle name="Accent6 33 3" xfId="7238" xr:uid="{00000000-0005-0000-0000-0000461C0000}"/>
    <cellStyle name="Accent6 34" xfId="7239" xr:uid="{00000000-0005-0000-0000-0000471C0000}"/>
    <cellStyle name="Accent6 34 2" xfId="7240" xr:uid="{00000000-0005-0000-0000-0000481C0000}"/>
    <cellStyle name="Accent6 34 2 2" xfId="7241" xr:uid="{00000000-0005-0000-0000-0000491C0000}"/>
    <cellStyle name="Accent6 34 3" xfId="7242" xr:uid="{00000000-0005-0000-0000-00004A1C0000}"/>
    <cellStyle name="Accent6 35" xfId="7243" xr:uid="{00000000-0005-0000-0000-00004B1C0000}"/>
    <cellStyle name="Accent6 35 2" xfId="7244" xr:uid="{00000000-0005-0000-0000-00004C1C0000}"/>
    <cellStyle name="Accent6 35 2 2" xfId="7245" xr:uid="{00000000-0005-0000-0000-00004D1C0000}"/>
    <cellStyle name="Accent6 35 3" xfId="7246" xr:uid="{00000000-0005-0000-0000-00004E1C0000}"/>
    <cellStyle name="Accent6 36" xfId="7247" xr:uid="{00000000-0005-0000-0000-00004F1C0000}"/>
    <cellStyle name="Accent6 36 2" xfId="7248" xr:uid="{00000000-0005-0000-0000-0000501C0000}"/>
    <cellStyle name="Accent6 36 2 2" xfId="7249" xr:uid="{00000000-0005-0000-0000-0000511C0000}"/>
    <cellStyle name="Accent6 36 3" xfId="7250" xr:uid="{00000000-0005-0000-0000-0000521C0000}"/>
    <cellStyle name="Accent6 37" xfId="7251" xr:uid="{00000000-0005-0000-0000-0000531C0000}"/>
    <cellStyle name="Accent6 37 2" xfId="7252" xr:uid="{00000000-0005-0000-0000-0000541C0000}"/>
    <cellStyle name="Accent6 37 2 2" xfId="7253" xr:uid="{00000000-0005-0000-0000-0000551C0000}"/>
    <cellStyle name="Accent6 37 3" xfId="7254" xr:uid="{00000000-0005-0000-0000-0000561C0000}"/>
    <cellStyle name="Accent6 38" xfId="7255" xr:uid="{00000000-0005-0000-0000-0000571C0000}"/>
    <cellStyle name="Accent6 38 2" xfId="7256" xr:uid="{00000000-0005-0000-0000-0000581C0000}"/>
    <cellStyle name="Accent6 38 2 2" xfId="7257" xr:uid="{00000000-0005-0000-0000-0000591C0000}"/>
    <cellStyle name="Accent6 38 3" xfId="7258" xr:uid="{00000000-0005-0000-0000-00005A1C0000}"/>
    <cellStyle name="Accent6 39" xfId="7259" xr:uid="{00000000-0005-0000-0000-00005B1C0000}"/>
    <cellStyle name="Accent6 39 2" xfId="7260" xr:uid="{00000000-0005-0000-0000-00005C1C0000}"/>
    <cellStyle name="Accent6 39 2 2" xfId="7261" xr:uid="{00000000-0005-0000-0000-00005D1C0000}"/>
    <cellStyle name="Accent6 39 3" xfId="7262" xr:uid="{00000000-0005-0000-0000-00005E1C0000}"/>
    <cellStyle name="Accent6 4" xfId="7263" xr:uid="{00000000-0005-0000-0000-00005F1C0000}"/>
    <cellStyle name="Accent6 4 2" xfId="7264" xr:uid="{00000000-0005-0000-0000-0000601C0000}"/>
    <cellStyle name="Accent6 4 2 2" xfId="7265" xr:uid="{00000000-0005-0000-0000-0000611C0000}"/>
    <cellStyle name="Accent6 4 2 2 2" xfId="7266" xr:uid="{00000000-0005-0000-0000-0000621C0000}"/>
    <cellStyle name="Accent6 4 2 3" xfId="7267" xr:uid="{00000000-0005-0000-0000-0000631C0000}"/>
    <cellStyle name="Accent6 4 2 3 2" xfId="7268" xr:uid="{00000000-0005-0000-0000-0000641C0000}"/>
    <cellStyle name="Accent6 4 2 3 2 2" xfId="7269" xr:uid="{00000000-0005-0000-0000-0000651C0000}"/>
    <cellStyle name="Accent6 4 2 3 3" xfId="7270" xr:uid="{00000000-0005-0000-0000-0000661C0000}"/>
    <cellStyle name="Accent6 4 2 4" xfId="7271" xr:uid="{00000000-0005-0000-0000-0000671C0000}"/>
    <cellStyle name="Accent6 4 3" xfId="7272" xr:uid="{00000000-0005-0000-0000-0000681C0000}"/>
    <cellStyle name="Accent6 4 3 2" xfId="7273" xr:uid="{00000000-0005-0000-0000-0000691C0000}"/>
    <cellStyle name="Accent6 4 3 2 2" xfId="7274" xr:uid="{00000000-0005-0000-0000-00006A1C0000}"/>
    <cellStyle name="Accent6 4 3 3" xfId="7275" xr:uid="{00000000-0005-0000-0000-00006B1C0000}"/>
    <cellStyle name="Accent6 4 3 3 2" xfId="7276" xr:uid="{00000000-0005-0000-0000-00006C1C0000}"/>
    <cellStyle name="Accent6 4 3 3 2 2" xfId="7277" xr:uid="{00000000-0005-0000-0000-00006D1C0000}"/>
    <cellStyle name="Accent6 4 3 3 3" xfId="7278" xr:uid="{00000000-0005-0000-0000-00006E1C0000}"/>
    <cellStyle name="Accent6 4 3 4" xfId="7279" xr:uid="{00000000-0005-0000-0000-00006F1C0000}"/>
    <cellStyle name="Accent6 4 4" xfId="7280" xr:uid="{00000000-0005-0000-0000-0000701C0000}"/>
    <cellStyle name="Accent6 4 4 2" xfId="7281" xr:uid="{00000000-0005-0000-0000-0000711C0000}"/>
    <cellStyle name="Accent6 4 4 2 2" xfId="7282" xr:uid="{00000000-0005-0000-0000-0000721C0000}"/>
    <cellStyle name="Accent6 4 4 3" xfId="7283" xr:uid="{00000000-0005-0000-0000-0000731C0000}"/>
    <cellStyle name="Accent6 4 5" xfId="7284" xr:uid="{00000000-0005-0000-0000-0000741C0000}"/>
    <cellStyle name="Accent6 4 5 2" xfId="7285" xr:uid="{00000000-0005-0000-0000-0000751C0000}"/>
    <cellStyle name="Accent6 4 6" xfId="7286" xr:uid="{00000000-0005-0000-0000-0000761C0000}"/>
    <cellStyle name="Accent6 4 6 2" xfId="7287" xr:uid="{00000000-0005-0000-0000-0000771C0000}"/>
    <cellStyle name="Accent6 4 6 2 2" xfId="7288" xr:uid="{00000000-0005-0000-0000-0000781C0000}"/>
    <cellStyle name="Accent6 4 6 3" xfId="7289" xr:uid="{00000000-0005-0000-0000-0000791C0000}"/>
    <cellStyle name="Accent6 4 7" xfId="7290" xr:uid="{00000000-0005-0000-0000-00007A1C0000}"/>
    <cellStyle name="Accent6 4 7 2" xfId="7291" xr:uid="{00000000-0005-0000-0000-00007B1C0000}"/>
    <cellStyle name="Accent6 4 7 2 2" xfId="7292" xr:uid="{00000000-0005-0000-0000-00007C1C0000}"/>
    <cellStyle name="Accent6 4 7 3" xfId="7293" xr:uid="{00000000-0005-0000-0000-00007D1C0000}"/>
    <cellStyle name="Accent6 4 8" xfId="7294" xr:uid="{00000000-0005-0000-0000-00007E1C0000}"/>
    <cellStyle name="Accent6 40" xfId="7295" xr:uid="{00000000-0005-0000-0000-00007F1C0000}"/>
    <cellStyle name="Accent6 40 2" xfId="7296" xr:uid="{00000000-0005-0000-0000-0000801C0000}"/>
    <cellStyle name="Accent6 40 2 2" xfId="7297" xr:uid="{00000000-0005-0000-0000-0000811C0000}"/>
    <cellStyle name="Accent6 40 3" xfId="7298" xr:uid="{00000000-0005-0000-0000-0000821C0000}"/>
    <cellStyle name="Accent6 41" xfId="7299" xr:uid="{00000000-0005-0000-0000-0000831C0000}"/>
    <cellStyle name="Accent6 41 2" xfId="7300" xr:uid="{00000000-0005-0000-0000-0000841C0000}"/>
    <cellStyle name="Accent6 41 2 2" xfId="7301" xr:uid="{00000000-0005-0000-0000-0000851C0000}"/>
    <cellStyle name="Accent6 41 3" xfId="7302" xr:uid="{00000000-0005-0000-0000-0000861C0000}"/>
    <cellStyle name="Accent6 42" xfId="7303" xr:uid="{00000000-0005-0000-0000-0000871C0000}"/>
    <cellStyle name="Accent6 42 2" xfId="7304" xr:uid="{00000000-0005-0000-0000-0000881C0000}"/>
    <cellStyle name="Accent6 42 2 2" xfId="7305" xr:uid="{00000000-0005-0000-0000-0000891C0000}"/>
    <cellStyle name="Accent6 42 3" xfId="7306" xr:uid="{00000000-0005-0000-0000-00008A1C0000}"/>
    <cellStyle name="Accent6 43" xfId="7307" xr:uid="{00000000-0005-0000-0000-00008B1C0000}"/>
    <cellStyle name="Accent6 43 2" xfId="7308" xr:uid="{00000000-0005-0000-0000-00008C1C0000}"/>
    <cellStyle name="Accent6 43 2 2" xfId="7309" xr:uid="{00000000-0005-0000-0000-00008D1C0000}"/>
    <cellStyle name="Accent6 43 3" xfId="7310" xr:uid="{00000000-0005-0000-0000-00008E1C0000}"/>
    <cellStyle name="Accent6 44" xfId="7311" xr:uid="{00000000-0005-0000-0000-00008F1C0000}"/>
    <cellStyle name="Accent6 44 2" xfId="7312" xr:uid="{00000000-0005-0000-0000-0000901C0000}"/>
    <cellStyle name="Accent6 44 2 2" xfId="7313" xr:uid="{00000000-0005-0000-0000-0000911C0000}"/>
    <cellStyle name="Accent6 44 3" xfId="7314" xr:uid="{00000000-0005-0000-0000-0000921C0000}"/>
    <cellStyle name="Accent6 45" xfId="7315" xr:uid="{00000000-0005-0000-0000-0000931C0000}"/>
    <cellStyle name="Accent6 45 2" xfId="7316" xr:uid="{00000000-0005-0000-0000-0000941C0000}"/>
    <cellStyle name="Accent6 45 2 2" xfId="7317" xr:uid="{00000000-0005-0000-0000-0000951C0000}"/>
    <cellStyle name="Accent6 45 3" xfId="7318" xr:uid="{00000000-0005-0000-0000-0000961C0000}"/>
    <cellStyle name="Accent6 46" xfId="7319" xr:uid="{00000000-0005-0000-0000-0000971C0000}"/>
    <cellStyle name="Accent6 46 2" xfId="7320" xr:uid="{00000000-0005-0000-0000-0000981C0000}"/>
    <cellStyle name="Accent6 46 2 2" xfId="7321" xr:uid="{00000000-0005-0000-0000-0000991C0000}"/>
    <cellStyle name="Accent6 46 3" xfId="7322" xr:uid="{00000000-0005-0000-0000-00009A1C0000}"/>
    <cellStyle name="Accent6 47" xfId="7323" xr:uid="{00000000-0005-0000-0000-00009B1C0000}"/>
    <cellStyle name="Accent6 47 2" xfId="7324" xr:uid="{00000000-0005-0000-0000-00009C1C0000}"/>
    <cellStyle name="Accent6 47 2 2" xfId="7325" xr:uid="{00000000-0005-0000-0000-00009D1C0000}"/>
    <cellStyle name="Accent6 47 3" xfId="7326" xr:uid="{00000000-0005-0000-0000-00009E1C0000}"/>
    <cellStyle name="Accent6 48" xfId="7327" xr:uid="{00000000-0005-0000-0000-00009F1C0000}"/>
    <cellStyle name="Accent6 48 2" xfId="7328" xr:uid="{00000000-0005-0000-0000-0000A01C0000}"/>
    <cellStyle name="Accent6 48 2 2" xfId="7329" xr:uid="{00000000-0005-0000-0000-0000A11C0000}"/>
    <cellStyle name="Accent6 48 3" xfId="7330" xr:uid="{00000000-0005-0000-0000-0000A21C0000}"/>
    <cellStyle name="Accent6 48 3 2" xfId="7331" xr:uid="{00000000-0005-0000-0000-0000A31C0000}"/>
    <cellStyle name="Accent6 48 3 2 2" xfId="7332" xr:uid="{00000000-0005-0000-0000-0000A41C0000}"/>
    <cellStyle name="Accent6 48 3 3" xfId="7333" xr:uid="{00000000-0005-0000-0000-0000A51C0000}"/>
    <cellStyle name="Accent6 48 4" xfId="7334" xr:uid="{00000000-0005-0000-0000-0000A61C0000}"/>
    <cellStyle name="Accent6 49" xfId="7335" xr:uid="{00000000-0005-0000-0000-0000A71C0000}"/>
    <cellStyle name="Accent6 49 2" xfId="7336" xr:uid="{00000000-0005-0000-0000-0000A81C0000}"/>
    <cellStyle name="Accent6 49 2 2" xfId="7337" xr:uid="{00000000-0005-0000-0000-0000A91C0000}"/>
    <cellStyle name="Accent6 49 3" xfId="7338" xr:uid="{00000000-0005-0000-0000-0000AA1C0000}"/>
    <cellStyle name="Accent6 49 3 2" xfId="7339" xr:uid="{00000000-0005-0000-0000-0000AB1C0000}"/>
    <cellStyle name="Accent6 49 3 2 2" xfId="7340" xr:uid="{00000000-0005-0000-0000-0000AC1C0000}"/>
    <cellStyle name="Accent6 49 3 3" xfId="7341" xr:uid="{00000000-0005-0000-0000-0000AD1C0000}"/>
    <cellStyle name="Accent6 49 4" xfId="7342" xr:uid="{00000000-0005-0000-0000-0000AE1C0000}"/>
    <cellStyle name="Accent6 5" xfId="7343" xr:uid="{00000000-0005-0000-0000-0000AF1C0000}"/>
    <cellStyle name="Accent6 5 2" xfId="7344" xr:uid="{00000000-0005-0000-0000-0000B01C0000}"/>
    <cellStyle name="Accent6 5 2 2" xfId="7345" xr:uid="{00000000-0005-0000-0000-0000B11C0000}"/>
    <cellStyle name="Accent6 5 2 2 2" xfId="7346" xr:uid="{00000000-0005-0000-0000-0000B21C0000}"/>
    <cellStyle name="Accent6 5 2 3" xfId="7347" xr:uid="{00000000-0005-0000-0000-0000B31C0000}"/>
    <cellStyle name="Accent6 5 2 3 2" xfId="7348" xr:uid="{00000000-0005-0000-0000-0000B41C0000}"/>
    <cellStyle name="Accent6 5 2 3 2 2" xfId="7349" xr:uid="{00000000-0005-0000-0000-0000B51C0000}"/>
    <cellStyle name="Accent6 5 2 3 3" xfId="7350" xr:uid="{00000000-0005-0000-0000-0000B61C0000}"/>
    <cellStyle name="Accent6 5 2 4" xfId="7351" xr:uid="{00000000-0005-0000-0000-0000B71C0000}"/>
    <cellStyle name="Accent6 5 3" xfId="7352" xr:uid="{00000000-0005-0000-0000-0000B81C0000}"/>
    <cellStyle name="Accent6 5 3 2" xfId="7353" xr:uid="{00000000-0005-0000-0000-0000B91C0000}"/>
    <cellStyle name="Accent6 5 3 2 2" xfId="7354" xr:uid="{00000000-0005-0000-0000-0000BA1C0000}"/>
    <cellStyle name="Accent6 5 3 3" xfId="7355" xr:uid="{00000000-0005-0000-0000-0000BB1C0000}"/>
    <cellStyle name="Accent6 5 3 3 2" xfId="7356" xr:uid="{00000000-0005-0000-0000-0000BC1C0000}"/>
    <cellStyle name="Accent6 5 3 3 2 2" xfId="7357" xr:uid="{00000000-0005-0000-0000-0000BD1C0000}"/>
    <cellStyle name="Accent6 5 3 3 3" xfId="7358" xr:uid="{00000000-0005-0000-0000-0000BE1C0000}"/>
    <cellStyle name="Accent6 5 3 4" xfId="7359" xr:uid="{00000000-0005-0000-0000-0000BF1C0000}"/>
    <cellStyle name="Accent6 5 4" xfId="7360" xr:uid="{00000000-0005-0000-0000-0000C01C0000}"/>
    <cellStyle name="Accent6 5 4 2" xfId="7361" xr:uid="{00000000-0005-0000-0000-0000C11C0000}"/>
    <cellStyle name="Accent6 5 5" xfId="7362" xr:uid="{00000000-0005-0000-0000-0000C21C0000}"/>
    <cellStyle name="Accent6 5 5 2" xfId="7363" xr:uid="{00000000-0005-0000-0000-0000C31C0000}"/>
    <cellStyle name="Accent6 5 5 2 2" xfId="7364" xr:uid="{00000000-0005-0000-0000-0000C41C0000}"/>
    <cellStyle name="Accent6 5 5 3" xfId="7365" xr:uid="{00000000-0005-0000-0000-0000C51C0000}"/>
    <cellStyle name="Accent6 5 6" xfId="7366" xr:uid="{00000000-0005-0000-0000-0000C61C0000}"/>
    <cellStyle name="Accent6 5 6 2" xfId="7367" xr:uid="{00000000-0005-0000-0000-0000C71C0000}"/>
    <cellStyle name="Accent6 5 7" xfId="7368" xr:uid="{00000000-0005-0000-0000-0000C81C0000}"/>
    <cellStyle name="Accent6 50" xfId="7369" xr:uid="{00000000-0005-0000-0000-0000C91C0000}"/>
    <cellStyle name="Accent6 50 2" xfId="7370" xr:uid="{00000000-0005-0000-0000-0000CA1C0000}"/>
    <cellStyle name="Accent6 50 2 2" xfId="7371" xr:uid="{00000000-0005-0000-0000-0000CB1C0000}"/>
    <cellStyle name="Accent6 50 3" xfId="7372" xr:uid="{00000000-0005-0000-0000-0000CC1C0000}"/>
    <cellStyle name="Accent6 50 3 2" xfId="7373" xr:uid="{00000000-0005-0000-0000-0000CD1C0000}"/>
    <cellStyle name="Accent6 50 3 2 2" xfId="7374" xr:uid="{00000000-0005-0000-0000-0000CE1C0000}"/>
    <cellStyle name="Accent6 50 3 3" xfId="7375" xr:uid="{00000000-0005-0000-0000-0000CF1C0000}"/>
    <cellStyle name="Accent6 50 4" xfId="7376" xr:uid="{00000000-0005-0000-0000-0000D01C0000}"/>
    <cellStyle name="Accent6 51" xfId="7377" xr:uid="{00000000-0005-0000-0000-0000D11C0000}"/>
    <cellStyle name="Accent6 51 2" xfId="7378" xr:uid="{00000000-0005-0000-0000-0000D21C0000}"/>
    <cellStyle name="Accent6 51 2 2" xfId="7379" xr:uid="{00000000-0005-0000-0000-0000D31C0000}"/>
    <cellStyle name="Accent6 51 3" xfId="7380" xr:uid="{00000000-0005-0000-0000-0000D41C0000}"/>
    <cellStyle name="Accent6 51 3 2" xfId="7381" xr:uid="{00000000-0005-0000-0000-0000D51C0000}"/>
    <cellStyle name="Accent6 51 3 2 2" xfId="7382" xr:uid="{00000000-0005-0000-0000-0000D61C0000}"/>
    <cellStyle name="Accent6 51 3 3" xfId="7383" xr:uid="{00000000-0005-0000-0000-0000D71C0000}"/>
    <cellStyle name="Accent6 51 4" xfId="7384" xr:uid="{00000000-0005-0000-0000-0000D81C0000}"/>
    <cellStyle name="Accent6 52" xfId="7385" xr:uid="{00000000-0005-0000-0000-0000D91C0000}"/>
    <cellStyle name="Accent6 52 2" xfId="7386" xr:uid="{00000000-0005-0000-0000-0000DA1C0000}"/>
    <cellStyle name="Accent6 52 2 2" xfId="7387" xr:uid="{00000000-0005-0000-0000-0000DB1C0000}"/>
    <cellStyle name="Accent6 52 3" xfId="7388" xr:uid="{00000000-0005-0000-0000-0000DC1C0000}"/>
    <cellStyle name="Accent6 53" xfId="7389" xr:uid="{00000000-0005-0000-0000-0000DD1C0000}"/>
    <cellStyle name="Accent6 53 2" xfId="7390" xr:uid="{00000000-0005-0000-0000-0000DE1C0000}"/>
    <cellStyle name="Accent6 53 2 2" xfId="7391" xr:uid="{00000000-0005-0000-0000-0000DF1C0000}"/>
    <cellStyle name="Accent6 53 3" xfId="7392" xr:uid="{00000000-0005-0000-0000-0000E01C0000}"/>
    <cellStyle name="Accent6 54" xfId="7393" xr:uid="{00000000-0005-0000-0000-0000E11C0000}"/>
    <cellStyle name="Accent6 54 2" xfId="7394" xr:uid="{00000000-0005-0000-0000-0000E21C0000}"/>
    <cellStyle name="Accent6 54 2 2" xfId="7395" xr:uid="{00000000-0005-0000-0000-0000E31C0000}"/>
    <cellStyle name="Accent6 54 3" xfId="7396" xr:uid="{00000000-0005-0000-0000-0000E41C0000}"/>
    <cellStyle name="Accent6 55" xfId="7397" xr:uid="{00000000-0005-0000-0000-0000E51C0000}"/>
    <cellStyle name="Accent6 55 2" xfId="7398" xr:uid="{00000000-0005-0000-0000-0000E61C0000}"/>
    <cellStyle name="Accent6 55 2 2" xfId="7399" xr:uid="{00000000-0005-0000-0000-0000E71C0000}"/>
    <cellStyle name="Accent6 55 3" xfId="7400" xr:uid="{00000000-0005-0000-0000-0000E81C0000}"/>
    <cellStyle name="Accent6 56" xfId="7401" xr:uid="{00000000-0005-0000-0000-0000E91C0000}"/>
    <cellStyle name="Accent6 56 2" xfId="7402" xr:uid="{00000000-0005-0000-0000-0000EA1C0000}"/>
    <cellStyle name="Accent6 56 2 2" xfId="7403" xr:uid="{00000000-0005-0000-0000-0000EB1C0000}"/>
    <cellStyle name="Accent6 56 3" xfId="7404" xr:uid="{00000000-0005-0000-0000-0000EC1C0000}"/>
    <cellStyle name="Accent6 57" xfId="7405" xr:uid="{00000000-0005-0000-0000-0000ED1C0000}"/>
    <cellStyle name="Accent6 57 2" xfId="7406" xr:uid="{00000000-0005-0000-0000-0000EE1C0000}"/>
    <cellStyle name="Accent6 57 2 2" xfId="7407" xr:uid="{00000000-0005-0000-0000-0000EF1C0000}"/>
    <cellStyle name="Accent6 57 3" xfId="7408" xr:uid="{00000000-0005-0000-0000-0000F01C0000}"/>
    <cellStyle name="Accent6 58" xfId="7409" xr:uid="{00000000-0005-0000-0000-0000F11C0000}"/>
    <cellStyle name="Accent6 58 2" xfId="7410" xr:uid="{00000000-0005-0000-0000-0000F21C0000}"/>
    <cellStyle name="Accent6 58 2 2" xfId="7411" xr:uid="{00000000-0005-0000-0000-0000F31C0000}"/>
    <cellStyle name="Accent6 58 3" xfId="7412" xr:uid="{00000000-0005-0000-0000-0000F41C0000}"/>
    <cellStyle name="Accent6 58 3 2" xfId="7413" xr:uid="{00000000-0005-0000-0000-0000F51C0000}"/>
    <cellStyle name="Accent6 58 3 2 2" xfId="7414" xr:uid="{00000000-0005-0000-0000-0000F61C0000}"/>
    <cellStyle name="Accent6 58 3 3" xfId="7415" xr:uid="{00000000-0005-0000-0000-0000F71C0000}"/>
    <cellStyle name="Accent6 58 4" xfId="7416" xr:uid="{00000000-0005-0000-0000-0000F81C0000}"/>
    <cellStyle name="Accent6 59" xfId="7417" xr:uid="{00000000-0005-0000-0000-0000F91C0000}"/>
    <cellStyle name="Accent6 59 2" xfId="7418" xr:uid="{00000000-0005-0000-0000-0000FA1C0000}"/>
    <cellStyle name="Accent6 59 2 2" xfId="7419" xr:uid="{00000000-0005-0000-0000-0000FB1C0000}"/>
    <cellStyle name="Accent6 59 3" xfId="7420" xr:uid="{00000000-0005-0000-0000-0000FC1C0000}"/>
    <cellStyle name="Accent6 59 3 2" xfId="7421" xr:uid="{00000000-0005-0000-0000-0000FD1C0000}"/>
    <cellStyle name="Accent6 59 3 2 2" xfId="7422" xr:uid="{00000000-0005-0000-0000-0000FE1C0000}"/>
    <cellStyle name="Accent6 59 3 3" xfId="7423" xr:uid="{00000000-0005-0000-0000-0000FF1C0000}"/>
    <cellStyle name="Accent6 59 4" xfId="7424" xr:uid="{00000000-0005-0000-0000-0000001D0000}"/>
    <cellStyle name="Accent6 6" xfId="7425" xr:uid="{00000000-0005-0000-0000-0000011D0000}"/>
    <cellStyle name="Accent6 6 2" xfId="7426" xr:uid="{00000000-0005-0000-0000-0000021D0000}"/>
    <cellStyle name="Accent6 6 2 2" xfId="7427" xr:uid="{00000000-0005-0000-0000-0000031D0000}"/>
    <cellStyle name="Accent6 6 2 2 2" xfId="7428" xr:uid="{00000000-0005-0000-0000-0000041D0000}"/>
    <cellStyle name="Accent6 6 2 3" xfId="7429" xr:uid="{00000000-0005-0000-0000-0000051D0000}"/>
    <cellStyle name="Accent6 6 2 3 2" xfId="7430" xr:uid="{00000000-0005-0000-0000-0000061D0000}"/>
    <cellStyle name="Accent6 6 2 3 2 2" xfId="7431" xr:uid="{00000000-0005-0000-0000-0000071D0000}"/>
    <cellStyle name="Accent6 6 2 3 3" xfId="7432" xr:uid="{00000000-0005-0000-0000-0000081D0000}"/>
    <cellStyle name="Accent6 6 2 4" xfId="7433" xr:uid="{00000000-0005-0000-0000-0000091D0000}"/>
    <cellStyle name="Accent6 6 3" xfId="7434" xr:uid="{00000000-0005-0000-0000-00000A1D0000}"/>
    <cellStyle name="Accent6 6 3 2" xfId="7435" xr:uid="{00000000-0005-0000-0000-00000B1D0000}"/>
    <cellStyle name="Accent6 6 4" xfId="7436" xr:uid="{00000000-0005-0000-0000-00000C1D0000}"/>
    <cellStyle name="Accent6 6 4 2" xfId="7437" xr:uid="{00000000-0005-0000-0000-00000D1D0000}"/>
    <cellStyle name="Accent6 6 4 2 2" xfId="7438" xr:uid="{00000000-0005-0000-0000-00000E1D0000}"/>
    <cellStyle name="Accent6 6 4 3" xfId="7439" xr:uid="{00000000-0005-0000-0000-00000F1D0000}"/>
    <cellStyle name="Accent6 6 5" xfId="7440" xr:uid="{00000000-0005-0000-0000-0000101D0000}"/>
    <cellStyle name="Accent6 60" xfId="7441" xr:uid="{00000000-0005-0000-0000-0000111D0000}"/>
    <cellStyle name="Accent6 60 2" xfId="7442" xr:uid="{00000000-0005-0000-0000-0000121D0000}"/>
    <cellStyle name="Accent6 60 2 2" xfId="7443" xr:uid="{00000000-0005-0000-0000-0000131D0000}"/>
    <cellStyle name="Accent6 60 3" xfId="7444" xr:uid="{00000000-0005-0000-0000-0000141D0000}"/>
    <cellStyle name="Accent6 60 3 2" xfId="7445" xr:uid="{00000000-0005-0000-0000-0000151D0000}"/>
    <cellStyle name="Accent6 60 3 2 2" xfId="7446" xr:uid="{00000000-0005-0000-0000-0000161D0000}"/>
    <cellStyle name="Accent6 60 3 3" xfId="7447" xr:uid="{00000000-0005-0000-0000-0000171D0000}"/>
    <cellStyle name="Accent6 60 4" xfId="7448" xr:uid="{00000000-0005-0000-0000-0000181D0000}"/>
    <cellStyle name="Accent6 61" xfId="7449" xr:uid="{00000000-0005-0000-0000-0000191D0000}"/>
    <cellStyle name="Accent6 61 2" xfId="7450" xr:uid="{00000000-0005-0000-0000-00001A1D0000}"/>
    <cellStyle name="Accent6 61 2 2" xfId="7451" xr:uid="{00000000-0005-0000-0000-00001B1D0000}"/>
    <cellStyle name="Accent6 61 3" xfId="7452" xr:uid="{00000000-0005-0000-0000-00001C1D0000}"/>
    <cellStyle name="Accent6 61 3 2" xfId="7453" xr:uid="{00000000-0005-0000-0000-00001D1D0000}"/>
    <cellStyle name="Accent6 61 3 2 2" xfId="7454" xr:uid="{00000000-0005-0000-0000-00001E1D0000}"/>
    <cellStyle name="Accent6 61 3 3" xfId="7455" xr:uid="{00000000-0005-0000-0000-00001F1D0000}"/>
    <cellStyle name="Accent6 61 4" xfId="7456" xr:uid="{00000000-0005-0000-0000-0000201D0000}"/>
    <cellStyle name="Accent6 62" xfId="7457" xr:uid="{00000000-0005-0000-0000-0000211D0000}"/>
    <cellStyle name="Accent6 62 2" xfId="7458" xr:uid="{00000000-0005-0000-0000-0000221D0000}"/>
    <cellStyle name="Accent6 62 2 2" xfId="7459" xr:uid="{00000000-0005-0000-0000-0000231D0000}"/>
    <cellStyle name="Accent6 62 3" xfId="7460" xr:uid="{00000000-0005-0000-0000-0000241D0000}"/>
    <cellStyle name="Accent6 62 3 2" xfId="7461" xr:uid="{00000000-0005-0000-0000-0000251D0000}"/>
    <cellStyle name="Accent6 62 3 2 2" xfId="7462" xr:uid="{00000000-0005-0000-0000-0000261D0000}"/>
    <cellStyle name="Accent6 62 3 3" xfId="7463" xr:uid="{00000000-0005-0000-0000-0000271D0000}"/>
    <cellStyle name="Accent6 62 4" xfId="7464" xr:uid="{00000000-0005-0000-0000-0000281D0000}"/>
    <cellStyle name="Accent6 63" xfId="7465" xr:uid="{00000000-0005-0000-0000-0000291D0000}"/>
    <cellStyle name="Accent6 63 2" xfId="7466" xr:uid="{00000000-0005-0000-0000-00002A1D0000}"/>
    <cellStyle name="Accent6 63 2 2" xfId="7467" xr:uid="{00000000-0005-0000-0000-00002B1D0000}"/>
    <cellStyle name="Accent6 63 3" xfId="7468" xr:uid="{00000000-0005-0000-0000-00002C1D0000}"/>
    <cellStyle name="Accent6 63 3 2" xfId="7469" xr:uid="{00000000-0005-0000-0000-00002D1D0000}"/>
    <cellStyle name="Accent6 63 3 2 2" xfId="7470" xr:uid="{00000000-0005-0000-0000-00002E1D0000}"/>
    <cellStyle name="Accent6 63 3 3" xfId="7471" xr:uid="{00000000-0005-0000-0000-00002F1D0000}"/>
    <cellStyle name="Accent6 63 4" xfId="7472" xr:uid="{00000000-0005-0000-0000-0000301D0000}"/>
    <cellStyle name="Accent6 64" xfId="7473" xr:uid="{00000000-0005-0000-0000-0000311D0000}"/>
    <cellStyle name="Accent6 64 2" xfId="7474" xr:uid="{00000000-0005-0000-0000-0000321D0000}"/>
    <cellStyle name="Accent6 64 2 2" xfId="7475" xr:uid="{00000000-0005-0000-0000-0000331D0000}"/>
    <cellStyle name="Accent6 64 3" xfId="7476" xr:uid="{00000000-0005-0000-0000-0000341D0000}"/>
    <cellStyle name="Accent6 64 3 2" xfId="7477" xr:uid="{00000000-0005-0000-0000-0000351D0000}"/>
    <cellStyle name="Accent6 64 3 2 2" xfId="7478" xr:uid="{00000000-0005-0000-0000-0000361D0000}"/>
    <cellStyle name="Accent6 64 3 3" xfId="7479" xr:uid="{00000000-0005-0000-0000-0000371D0000}"/>
    <cellStyle name="Accent6 64 4" xfId="7480" xr:uid="{00000000-0005-0000-0000-0000381D0000}"/>
    <cellStyle name="Accent6 65" xfId="7481" xr:uid="{00000000-0005-0000-0000-0000391D0000}"/>
    <cellStyle name="Accent6 65 2" xfId="7482" xr:uid="{00000000-0005-0000-0000-00003A1D0000}"/>
    <cellStyle name="Accent6 65 2 2" xfId="7483" xr:uid="{00000000-0005-0000-0000-00003B1D0000}"/>
    <cellStyle name="Accent6 65 3" xfId="7484" xr:uid="{00000000-0005-0000-0000-00003C1D0000}"/>
    <cellStyle name="Accent6 65 3 2" xfId="7485" xr:uid="{00000000-0005-0000-0000-00003D1D0000}"/>
    <cellStyle name="Accent6 65 3 2 2" xfId="7486" xr:uid="{00000000-0005-0000-0000-00003E1D0000}"/>
    <cellStyle name="Accent6 65 3 3" xfId="7487" xr:uid="{00000000-0005-0000-0000-00003F1D0000}"/>
    <cellStyle name="Accent6 65 4" xfId="7488" xr:uid="{00000000-0005-0000-0000-0000401D0000}"/>
    <cellStyle name="Accent6 66" xfId="7489" xr:uid="{00000000-0005-0000-0000-0000411D0000}"/>
    <cellStyle name="Accent6 66 2" xfId="7490" xr:uid="{00000000-0005-0000-0000-0000421D0000}"/>
    <cellStyle name="Accent6 66 2 2" xfId="7491" xr:uid="{00000000-0005-0000-0000-0000431D0000}"/>
    <cellStyle name="Accent6 66 3" xfId="7492" xr:uid="{00000000-0005-0000-0000-0000441D0000}"/>
    <cellStyle name="Accent6 66 3 2" xfId="7493" xr:uid="{00000000-0005-0000-0000-0000451D0000}"/>
    <cellStyle name="Accent6 66 3 2 2" xfId="7494" xr:uid="{00000000-0005-0000-0000-0000461D0000}"/>
    <cellStyle name="Accent6 66 3 3" xfId="7495" xr:uid="{00000000-0005-0000-0000-0000471D0000}"/>
    <cellStyle name="Accent6 66 4" xfId="7496" xr:uid="{00000000-0005-0000-0000-0000481D0000}"/>
    <cellStyle name="Accent6 67" xfId="7497" xr:uid="{00000000-0005-0000-0000-0000491D0000}"/>
    <cellStyle name="Accent6 67 2" xfId="7498" xr:uid="{00000000-0005-0000-0000-00004A1D0000}"/>
    <cellStyle name="Accent6 67 2 2" xfId="7499" xr:uid="{00000000-0005-0000-0000-00004B1D0000}"/>
    <cellStyle name="Accent6 67 3" xfId="7500" xr:uid="{00000000-0005-0000-0000-00004C1D0000}"/>
    <cellStyle name="Accent6 67 3 2" xfId="7501" xr:uid="{00000000-0005-0000-0000-00004D1D0000}"/>
    <cellStyle name="Accent6 67 3 2 2" xfId="7502" xr:uid="{00000000-0005-0000-0000-00004E1D0000}"/>
    <cellStyle name="Accent6 67 3 3" xfId="7503" xr:uid="{00000000-0005-0000-0000-00004F1D0000}"/>
    <cellStyle name="Accent6 67 4" xfId="7504" xr:uid="{00000000-0005-0000-0000-0000501D0000}"/>
    <cellStyle name="Accent6 68" xfId="7505" xr:uid="{00000000-0005-0000-0000-0000511D0000}"/>
    <cellStyle name="Accent6 68 2" xfId="7506" xr:uid="{00000000-0005-0000-0000-0000521D0000}"/>
    <cellStyle name="Accent6 68 2 2" xfId="7507" xr:uid="{00000000-0005-0000-0000-0000531D0000}"/>
    <cellStyle name="Accent6 68 3" xfId="7508" xr:uid="{00000000-0005-0000-0000-0000541D0000}"/>
    <cellStyle name="Accent6 68 3 2" xfId="7509" xr:uid="{00000000-0005-0000-0000-0000551D0000}"/>
    <cellStyle name="Accent6 68 3 2 2" xfId="7510" xr:uid="{00000000-0005-0000-0000-0000561D0000}"/>
    <cellStyle name="Accent6 68 3 3" xfId="7511" xr:uid="{00000000-0005-0000-0000-0000571D0000}"/>
    <cellStyle name="Accent6 68 4" xfId="7512" xr:uid="{00000000-0005-0000-0000-0000581D0000}"/>
    <cellStyle name="Accent6 69" xfId="7513" xr:uid="{00000000-0005-0000-0000-0000591D0000}"/>
    <cellStyle name="Accent6 69 2" xfId="7514" xr:uid="{00000000-0005-0000-0000-00005A1D0000}"/>
    <cellStyle name="Accent6 69 2 2" xfId="7515" xr:uid="{00000000-0005-0000-0000-00005B1D0000}"/>
    <cellStyle name="Accent6 69 3" xfId="7516" xr:uid="{00000000-0005-0000-0000-00005C1D0000}"/>
    <cellStyle name="Accent6 69 3 2" xfId="7517" xr:uid="{00000000-0005-0000-0000-00005D1D0000}"/>
    <cellStyle name="Accent6 69 3 2 2" xfId="7518" xr:uid="{00000000-0005-0000-0000-00005E1D0000}"/>
    <cellStyle name="Accent6 69 3 3" xfId="7519" xr:uid="{00000000-0005-0000-0000-00005F1D0000}"/>
    <cellStyle name="Accent6 69 4" xfId="7520" xr:uid="{00000000-0005-0000-0000-0000601D0000}"/>
    <cellStyle name="Accent6 7" xfId="7521" xr:uid="{00000000-0005-0000-0000-0000611D0000}"/>
    <cellStyle name="Accent6 7 2" xfId="7522" xr:uid="{00000000-0005-0000-0000-0000621D0000}"/>
    <cellStyle name="Accent6 7 2 2" xfId="7523" xr:uid="{00000000-0005-0000-0000-0000631D0000}"/>
    <cellStyle name="Accent6 7 2 2 2" xfId="7524" xr:uid="{00000000-0005-0000-0000-0000641D0000}"/>
    <cellStyle name="Accent6 7 2 3" xfId="7525" xr:uid="{00000000-0005-0000-0000-0000651D0000}"/>
    <cellStyle name="Accent6 7 2 3 2" xfId="7526" xr:uid="{00000000-0005-0000-0000-0000661D0000}"/>
    <cellStyle name="Accent6 7 2 3 2 2" xfId="7527" xr:uid="{00000000-0005-0000-0000-0000671D0000}"/>
    <cellStyle name="Accent6 7 2 3 3" xfId="7528" xr:uid="{00000000-0005-0000-0000-0000681D0000}"/>
    <cellStyle name="Accent6 7 2 4" xfId="7529" xr:uid="{00000000-0005-0000-0000-0000691D0000}"/>
    <cellStyle name="Accent6 7 3" xfId="7530" xr:uid="{00000000-0005-0000-0000-00006A1D0000}"/>
    <cellStyle name="Accent6 7 3 2" xfId="7531" xr:uid="{00000000-0005-0000-0000-00006B1D0000}"/>
    <cellStyle name="Accent6 7 4" xfId="7532" xr:uid="{00000000-0005-0000-0000-00006C1D0000}"/>
    <cellStyle name="Accent6 7 4 2" xfId="7533" xr:uid="{00000000-0005-0000-0000-00006D1D0000}"/>
    <cellStyle name="Accent6 7 4 2 2" xfId="7534" xr:uid="{00000000-0005-0000-0000-00006E1D0000}"/>
    <cellStyle name="Accent6 7 4 3" xfId="7535" xr:uid="{00000000-0005-0000-0000-00006F1D0000}"/>
    <cellStyle name="Accent6 7 5" xfId="7536" xr:uid="{00000000-0005-0000-0000-0000701D0000}"/>
    <cellStyle name="Accent6 70" xfId="7537" xr:uid="{00000000-0005-0000-0000-0000711D0000}"/>
    <cellStyle name="Accent6 70 2" xfId="7538" xr:uid="{00000000-0005-0000-0000-0000721D0000}"/>
    <cellStyle name="Accent6 70 2 2" xfId="7539" xr:uid="{00000000-0005-0000-0000-0000731D0000}"/>
    <cellStyle name="Accent6 70 3" xfId="7540" xr:uid="{00000000-0005-0000-0000-0000741D0000}"/>
    <cellStyle name="Accent6 70 3 2" xfId="7541" xr:uid="{00000000-0005-0000-0000-0000751D0000}"/>
    <cellStyle name="Accent6 70 3 2 2" xfId="7542" xr:uid="{00000000-0005-0000-0000-0000761D0000}"/>
    <cellStyle name="Accent6 70 3 3" xfId="7543" xr:uid="{00000000-0005-0000-0000-0000771D0000}"/>
    <cellStyle name="Accent6 70 4" xfId="7544" xr:uid="{00000000-0005-0000-0000-0000781D0000}"/>
    <cellStyle name="Accent6 71" xfId="7545" xr:uid="{00000000-0005-0000-0000-0000791D0000}"/>
    <cellStyle name="Accent6 71 2" xfId="7546" xr:uid="{00000000-0005-0000-0000-00007A1D0000}"/>
    <cellStyle name="Accent6 71 2 2" xfId="7547" xr:uid="{00000000-0005-0000-0000-00007B1D0000}"/>
    <cellStyle name="Accent6 71 3" xfId="7548" xr:uid="{00000000-0005-0000-0000-00007C1D0000}"/>
    <cellStyle name="Accent6 71 3 2" xfId="7549" xr:uid="{00000000-0005-0000-0000-00007D1D0000}"/>
    <cellStyle name="Accent6 71 3 2 2" xfId="7550" xr:uid="{00000000-0005-0000-0000-00007E1D0000}"/>
    <cellStyle name="Accent6 71 3 3" xfId="7551" xr:uid="{00000000-0005-0000-0000-00007F1D0000}"/>
    <cellStyle name="Accent6 71 4" xfId="7552" xr:uid="{00000000-0005-0000-0000-0000801D0000}"/>
    <cellStyle name="Accent6 72" xfId="7553" xr:uid="{00000000-0005-0000-0000-0000811D0000}"/>
    <cellStyle name="Accent6 72 2" xfId="7554" xr:uid="{00000000-0005-0000-0000-0000821D0000}"/>
    <cellStyle name="Accent6 72 2 2" xfId="7555" xr:uid="{00000000-0005-0000-0000-0000831D0000}"/>
    <cellStyle name="Accent6 72 3" xfId="7556" xr:uid="{00000000-0005-0000-0000-0000841D0000}"/>
    <cellStyle name="Accent6 72 3 2" xfId="7557" xr:uid="{00000000-0005-0000-0000-0000851D0000}"/>
    <cellStyle name="Accent6 72 3 2 2" xfId="7558" xr:uid="{00000000-0005-0000-0000-0000861D0000}"/>
    <cellStyle name="Accent6 72 3 3" xfId="7559" xr:uid="{00000000-0005-0000-0000-0000871D0000}"/>
    <cellStyle name="Accent6 72 4" xfId="7560" xr:uid="{00000000-0005-0000-0000-0000881D0000}"/>
    <cellStyle name="Accent6 73" xfId="7561" xr:uid="{00000000-0005-0000-0000-0000891D0000}"/>
    <cellStyle name="Accent6 73 2" xfId="7562" xr:uid="{00000000-0005-0000-0000-00008A1D0000}"/>
    <cellStyle name="Accent6 73 2 2" xfId="7563" xr:uid="{00000000-0005-0000-0000-00008B1D0000}"/>
    <cellStyle name="Accent6 73 3" xfId="7564" xr:uid="{00000000-0005-0000-0000-00008C1D0000}"/>
    <cellStyle name="Accent6 73 3 2" xfId="7565" xr:uid="{00000000-0005-0000-0000-00008D1D0000}"/>
    <cellStyle name="Accent6 73 3 2 2" xfId="7566" xr:uid="{00000000-0005-0000-0000-00008E1D0000}"/>
    <cellStyle name="Accent6 73 3 3" xfId="7567" xr:uid="{00000000-0005-0000-0000-00008F1D0000}"/>
    <cellStyle name="Accent6 73 4" xfId="7568" xr:uid="{00000000-0005-0000-0000-0000901D0000}"/>
    <cellStyle name="Accent6 74" xfId="7569" xr:uid="{00000000-0005-0000-0000-0000911D0000}"/>
    <cellStyle name="Accent6 74 2" xfId="7570" xr:uid="{00000000-0005-0000-0000-0000921D0000}"/>
    <cellStyle name="Accent6 74 2 2" xfId="7571" xr:uid="{00000000-0005-0000-0000-0000931D0000}"/>
    <cellStyle name="Accent6 74 3" xfId="7572" xr:uid="{00000000-0005-0000-0000-0000941D0000}"/>
    <cellStyle name="Accent6 74 3 2" xfId="7573" xr:uid="{00000000-0005-0000-0000-0000951D0000}"/>
    <cellStyle name="Accent6 74 3 2 2" xfId="7574" xr:uid="{00000000-0005-0000-0000-0000961D0000}"/>
    <cellStyle name="Accent6 74 3 3" xfId="7575" xr:uid="{00000000-0005-0000-0000-0000971D0000}"/>
    <cellStyle name="Accent6 74 4" xfId="7576" xr:uid="{00000000-0005-0000-0000-0000981D0000}"/>
    <cellStyle name="Accent6 75" xfId="7577" xr:uid="{00000000-0005-0000-0000-0000991D0000}"/>
    <cellStyle name="Accent6 75 2" xfId="7578" xr:uid="{00000000-0005-0000-0000-00009A1D0000}"/>
    <cellStyle name="Accent6 75 2 2" xfId="7579" xr:uid="{00000000-0005-0000-0000-00009B1D0000}"/>
    <cellStyle name="Accent6 75 3" xfId="7580" xr:uid="{00000000-0005-0000-0000-00009C1D0000}"/>
    <cellStyle name="Accent6 75 3 2" xfId="7581" xr:uid="{00000000-0005-0000-0000-00009D1D0000}"/>
    <cellStyle name="Accent6 75 3 2 2" xfId="7582" xr:uid="{00000000-0005-0000-0000-00009E1D0000}"/>
    <cellStyle name="Accent6 75 3 3" xfId="7583" xr:uid="{00000000-0005-0000-0000-00009F1D0000}"/>
    <cellStyle name="Accent6 75 4" xfId="7584" xr:uid="{00000000-0005-0000-0000-0000A01D0000}"/>
    <cellStyle name="Accent6 76" xfId="7585" xr:uid="{00000000-0005-0000-0000-0000A11D0000}"/>
    <cellStyle name="Accent6 76 2" xfId="7586" xr:uid="{00000000-0005-0000-0000-0000A21D0000}"/>
    <cellStyle name="Accent6 76 2 2" xfId="7587" xr:uid="{00000000-0005-0000-0000-0000A31D0000}"/>
    <cellStyle name="Accent6 76 3" xfId="7588" xr:uid="{00000000-0005-0000-0000-0000A41D0000}"/>
    <cellStyle name="Accent6 76 3 2" xfId="7589" xr:uid="{00000000-0005-0000-0000-0000A51D0000}"/>
    <cellStyle name="Accent6 76 3 2 2" xfId="7590" xr:uid="{00000000-0005-0000-0000-0000A61D0000}"/>
    <cellStyle name="Accent6 76 3 3" xfId="7591" xr:uid="{00000000-0005-0000-0000-0000A71D0000}"/>
    <cellStyle name="Accent6 76 4" xfId="7592" xr:uid="{00000000-0005-0000-0000-0000A81D0000}"/>
    <cellStyle name="Accent6 77" xfId="7593" xr:uid="{00000000-0005-0000-0000-0000A91D0000}"/>
    <cellStyle name="Accent6 77 2" xfId="7594" xr:uid="{00000000-0005-0000-0000-0000AA1D0000}"/>
    <cellStyle name="Accent6 77 2 2" xfId="7595" xr:uid="{00000000-0005-0000-0000-0000AB1D0000}"/>
    <cellStyle name="Accent6 77 3" xfId="7596" xr:uid="{00000000-0005-0000-0000-0000AC1D0000}"/>
    <cellStyle name="Accent6 77 3 2" xfId="7597" xr:uid="{00000000-0005-0000-0000-0000AD1D0000}"/>
    <cellStyle name="Accent6 77 3 2 2" xfId="7598" xr:uid="{00000000-0005-0000-0000-0000AE1D0000}"/>
    <cellStyle name="Accent6 77 3 3" xfId="7599" xr:uid="{00000000-0005-0000-0000-0000AF1D0000}"/>
    <cellStyle name="Accent6 77 4" xfId="7600" xr:uid="{00000000-0005-0000-0000-0000B01D0000}"/>
    <cellStyle name="Accent6 78" xfId="7601" xr:uid="{00000000-0005-0000-0000-0000B11D0000}"/>
    <cellStyle name="Accent6 78 2" xfId="7602" xr:uid="{00000000-0005-0000-0000-0000B21D0000}"/>
    <cellStyle name="Accent6 78 2 2" xfId="7603" xr:uid="{00000000-0005-0000-0000-0000B31D0000}"/>
    <cellStyle name="Accent6 78 3" xfId="7604" xr:uid="{00000000-0005-0000-0000-0000B41D0000}"/>
    <cellStyle name="Accent6 78 3 2" xfId="7605" xr:uid="{00000000-0005-0000-0000-0000B51D0000}"/>
    <cellStyle name="Accent6 78 3 2 2" xfId="7606" xr:uid="{00000000-0005-0000-0000-0000B61D0000}"/>
    <cellStyle name="Accent6 78 3 3" xfId="7607" xr:uid="{00000000-0005-0000-0000-0000B71D0000}"/>
    <cellStyle name="Accent6 78 4" xfId="7608" xr:uid="{00000000-0005-0000-0000-0000B81D0000}"/>
    <cellStyle name="Accent6 79" xfId="7609" xr:uid="{00000000-0005-0000-0000-0000B91D0000}"/>
    <cellStyle name="Accent6 79 2" xfId="7610" xr:uid="{00000000-0005-0000-0000-0000BA1D0000}"/>
    <cellStyle name="Accent6 79 2 2" xfId="7611" xr:uid="{00000000-0005-0000-0000-0000BB1D0000}"/>
    <cellStyle name="Accent6 79 3" xfId="7612" xr:uid="{00000000-0005-0000-0000-0000BC1D0000}"/>
    <cellStyle name="Accent6 79 3 2" xfId="7613" xr:uid="{00000000-0005-0000-0000-0000BD1D0000}"/>
    <cellStyle name="Accent6 79 3 2 2" xfId="7614" xr:uid="{00000000-0005-0000-0000-0000BE1D0000}"/>
    <cellStyle name="Accent6 79 3 3" xfId="7615" xr:uid="{00000000-0005-0000-0000-0000BF1D0000}"/>
    <cellStyle name="Accent6 79 4" xfId="7616" xr:uid="{00000000-0005-0000-0000-0000C01D0000}"/>
    <cellStyle name="Accent6 8" xfId="7617" xr:uid="{00000000-0005-0000-0000-0000C11D0000}"/>
    <cellStyle name="Accent6 8 2" xfId="7618" xr:uid="{00000000-0005-0000-0000-0000C21D0000}"/>
    <cellStyle name="Accent6 8 2 2" xfId="7619" xr:uid="{00000000-0005-0000-0000-0000C31D0000}"/>
    <cellStyle name="Accent6 8 3" xfId="7620" xr:uid="{00000000-0005-0000-0000-0000C41D0000}"/>
    <cellStyle name="Accent6 80" xfId="7621" xr:uid="{00000000-0005-0000-0000-0000C51D0000}"/>
    <cellStyle name="Accent6 80 2" xfId="7622" xr:uid="{00000000-0005-0000-0000-0000C61D0000}"/>
    <cellStyle name="Accent6 80 2 2" xfId="7623" xr:uid="{00000000-0005-0000-0000-0000C71D0000}"/>
    <cellStyle name="Accent6 80 3" xfId="7624" xr:uid="{00000000-0005-0000-0000-0000C81D0000}"/>
    <cellStyle name="Accent6 80 3 2" xfId="7625" xr:uid="{00000000-0005-0000-0000-0000C91D0000}"/>
    <cellStyle name="Accent6 80 3 2 2" xfId="7626" xr:uid="{00000000-0005-0000-0000-0000CA1D0000}"/>
    <cellStyle name="Accent6 80 3 3" xfId="7627" xr:uid="{00000000-0005-0000-0000-0000CB1D0000}"/>
    <cellStyle name="Accent6 80 4" xfId="7628" xr:uid="{00000000-0005-0000-0000-0000CC1D0000}"/>
    <cellStyle name="Accent6 81" xfId="7629" xr:uid="{00000000-0005-0000-0000-0000CD1D0000}"/>
    <cellStyle name="Accent6 81 2" xfId="7630" xr:uid="{00000000-0005-0000-0000-0000CE1D0000}"/>
    <cellStyle name="Accent6 81 2 2" xfId="7631" xr:uid="{00000000-0005-0000-0000-0000CF1D0000}"/>
    <cellStyle name="Accent6 81 3" xfId="7632" xr:uid="{00000000-0005-0000-0000-0000D01D0000}"/>
    <cellStyle name="Accent6 81 3 2" xfId="7633" xr:uid="{00000000-0005-0000-0000-0000D11D0000}"/>
    <cellStyle name="Accent6 81 3 2 2" xfId="7634" xr:uid="{00000000-0005-0000-0000-0000D21D0000}"/>
    <cellStyle name="Accent6 81 3 3" xfId="7635" xr:uid="{00000000-0005-0000-0000-0000D31D0000}"/>
    <cellStyle name="Accent6 81 4" xfId="7636" xr:uid="{00000000-0005-0000-0000-0000D41D0000}"/>
    <cellStyle name="Accent6 82" xfId="7637" xr:uid="{00000000-0005-0000-0000-0000D51D0000}"/>
    <cellStyle name="Accent6 82 2" xfId="7638" xr:uid="{00000000-0005-0000-0000-0000D61D0000}"/>
    <cellStyle name="Accent6 82 2 2" xfId="7639" xr:uid="{00000000-0005-0000-0000-0000D71D0000}"/>
    <cellStyle name="Accent6 82 3" xfId="7640" xr:uid="{00000000-0005-0000-0000-0000D81D0000}"/>
    <cellStyle name="Accent6 82 3 2" xfId="7641" xr:uid="{00000000-0005-0000-0000-0000D91D0000}"/>
    <cellStyle name="Accent6 82 3 2 2" xfId="7642" xr:uid="{00000000-0005-0000-0000-0000DA1D0000}"/>
    <cellStyle name="Accent6 82 3 3" xfId="7643" xr:uid="{00000000-0005-0000-0000-0000DB1D0000}"/>
    <cellStyle name="Accent6 82 4" xfId="7644" xr:uid="{00000000-0005-0000-0000-0000DC1D0000}"/>
    <cellStyle name="Accent6 83" xfId="7645" xr:uid="{00000000-0005-0000-0000-0000DD1D0000}"/>
    <cellStyle name="Accent6 83 2" xfId="7646" xr:uid="{00000000-0005-0000-0000-0000DE1D0000}"/>
    <cellStyle name="Accent6 83 2 2" xfId="7647" xr:uid="{00000000-0005-0000-0000-0000DF1D0000}"/>
    <cellStyle name="Accent6 83 3" xfId="7648" xr:uid="{00000000-0005-0000-0000-0000E01D0000}"/>
    <cellStyle name="Accent6 83 3 2" xfId="7649" xr:uid="{00000000-0005-0000-0000-0000E11D0000}"/>
    <cellStyle name="Accent6 83 3 2 2" xfId="7650" xr:uid="{00000000-0005-0000-0000-0000E21D0000}"/>
    <cellStyle name="Accent6 83 3 3" xfId="7651" xr:uid="{00000000-0005-0000-0000-0000E31D0000}"/>
    <cellStyle name="Accent6 83 4" xfId="7652" xr:uid="{00000000-0005-0000-0000-0000E41D0000}"/>
    <cellStyle name="Accent6 84" xfId="7653" xr:uid="{00000000-0005-0000-0000-0000E51D0000}"/>
    <cellStyle name="Accent6 84 2" xfId="7654" xr:uid="{00000000-0005-0000-0000-0000E61D0000}"/>
    <cellStyle name="Accent6 84 2 2" xfId="7655" xr:uid="{00000000-0005-0000-0000-0000E71D0000}"/>
    <cellStyle name="Accent6 84 3" xfId="7656" xr:uid="{00000000-0005-0000-0000-0000E81D0000}"/>
    <cellStyle name="Accent6 85" xfId="7657" xr:uid="{00000000-0005-0000-0000-0000E91D0000}"/>
    <cellStyle name="Accent6 85 2" xfId="7658" xr:uid="{00000000-0005-0000-0000-0000EA1D0000}"/>
    <cellStyle name="Accent6 85 2 2" xfId="7659" xr:uid="{00000000-0005-0000-0000-0000EB1D0000}"/>
    <cellStyle name="Accent6 85 3" xfId="7660" xr:uid="{00000000-0005-0000-0000-0000EC1D0000}"/>
    <cellStyle name="Accent6 86" xfId="7661" xr:uid="{00000000-0005-0000-0000-0000ED1D0000}"/>
    <cellStyle name="Accent6 86 2" xfId="7662" xr:uid="{00000000-0005-0000-0000-0000EE1D0000}"/>
    <cellStyle name="Accent6 86 2 2" xfId="7663" xr:uid="{00000000-0005-0000-0000-0000EF1D0000}"/>
    <cellStyle name="Accent6 86 3" xfId="7664" xr:uid="{00000000-0005-0000-0000-0000F01D0000}"/>
    <cellStyle name="Accent6 87" xfId="7665" xr:uid="{00000000-0005-0000-0000-0000F11D0000}"/>
    <cellStyle name="Accent6 87 2" xfId="7666" xr:uid="{00000000-0005-0000-0000-0000F21D0000}"/>
    <cellStyle name="Accent6 87 2 2" xfId="7667" xr:uid="{00000000-0005-0000-0000-0000F31D0000}"/>
    <cellStyle name="Accent6 87 3" xfId="7668" xr:uid="{00000000-0005-0000-0000-0000F41D0000}"/>
    <cellStyle name="Accent6 88" xfId="7669" xr:uid="{00000000-0005-0000-0000-0000F51D0000}"/>
    <cellStyle name="Accent6 88 2" xfId="7670" xr:uid="{00000000-0005-0000-0000-0000F61D0000}"/>
    <cellStyle name="Accent6 88 2 2" xfId="7671" xr:uid="{00000000-0005-0000-0000-0000F71D0000}"/>
    <cellStyle name="Accent6 88 3" xfId="7672" xr:uid="{00000000-0005-0000-0000-0000F81D0000}"/>
    <cellStyle name="Accent6 89" xfId="7673" xr:uid="{00000000-0005-0000-0000-0000F91D0000}"/>
    <cellStyle name="Accent6 89 2" xfId="7674" xr:uid="{00000000-0005-0000-0000-0000FA1D0000}"/>
    <cellStyle name="Accent6 89 2 2" xfId="7675" xr:uid="{00000000-0005-0000-0000-0000FB1D0000}"/>
    <cellStyle name="Accent6 89 3" xfId="7676" xr:uid="{00000000-0005-0000-0000-0000FC1D0000}"/>
    <cellStyle name="Accent6 9" xfId="7677" xr:uid="{00000000-0005-0000-0000-0000FD1D0000}"/>
    <cellStyle name="Accent6 9 2" xfId="7678" xr:uid="{00000000-0005-0000-0000-0000FE1D0000}"/>
    <cellStyle name="Accent6 9 2 2" xfId="7679" xr:uid="{00000000-0005-0000-0000-0000FF1D0000}"/>
    <cellStyle name="Accent6 9 3" xfId="7680" xr:uid="{00000000-0005-0000-0000-0000001E0000}"/>
    <cellStyle name="Accent6 90" xfId="7681" xr:uid="{00000000-0005-0000-0000-0000011E0000}"/>
    <cellStyle name="Accent6 90 2" xfId="7682" xr:uid="{00000000-0005-0000-0000-0000021E0000}"/>
    <cellStyle name="Accent6 90 2 2" xfId="7683" xr:uid="{00000000-0005-0000-0000-0000031E0000}"/>
    <cellStyle name="Accent6 90 3" xfId="7684" xr:uid="{00000000-0005-0000-0000-0000041E0000}"/>
    <cellStyle name="Accent6 91" xfId="7685" xr:uid="{00000000-0005-0000-0000-0000051E0000}"/>
    <cellStyle name="Accent6 91 2" xfId="7686" xr:uid="{00000000-0005-0000-0000-0000061E0000}"/>
    <cellStyle name="Accent6 91 2 2" xfId="7687" xr:uid="{00000000-0005-0000-0000-0000071E0000}"/>
    <cellStyle name="Accent6 91 3" xfId="7688" xr:uid="{00000000-0005-0000-0000-0000081E0000}"/>
    <cellStyle name="Accent6 92" xfId="7689" xr:uid="{00000000-0005-0000-0000-0000091E0000}"/>
    <cellStyle name="Accent6 92 2" xfId="7690" xr:uid="{00000000-0005-0000-0000-00000A1E0000}"/>
    <cellStyle name="Accent6 92 2 2" xfId="7691" xr:uid="{00000000-0005-0000-0000-00000B1E0000}"/>
    <cellStyle name="Accent6 92 3" xfId="7692" xr:uid="{00000000-0005-0000-0000-00000C1E0000}"/>
    <cellStyle name="Accent6 93" xfId="7693" xr:uid="{00000000-0005-0000-0000-00000D1E0000}"/>
    <cellStyle name="Accent6 93 2" xfId="7694" xr:uid="{00000000-0005-0000-0000-00000E1E0000}"/>
    <cellStyle name="Accent6 93 2 2" xfId="7695" xr:uid="{00000000-0005-0000-0000-00000F1E0000}"/>
    <cellStyle name="Accent6 93 3" xfId="7696" xr:uid="{00000000-0005-0000-0000-0000101E0000}"/>
    <cellStyle name="Accent6 94" xfId="7697" xr:uid="{00000000-0005-0000-0000-0000111E0000}"/>
    <cellStyle name="Accent6 94 2" xfId="7698" xr:uid="{00000000-0005-0000-0000-0000121E0000}"/>
    <cellStyle name="Accent6 94 2 2" xfId="7699" xr:uid="{00000000-0005-0000-0000-0000131E0000}"/>
    <cellStyle name="Accent6 94 3" xfId="7700" xr:uid="{00000000-0005-0000-0000-0000141E0000}"/>
    <cellStyle name="Accent6 95" xfId="7701" xr:uid="{00000000-0005-0000-0000-0000151E0000}"/>
    <cellStyle name="Accent6 95 2" xfId="7702" xr:uid="{00000000-0005-0000-0000-0000161E0000}"/>
    <cellStyle name="Accent6 95 2 2" xfId="7703" xr:uid="{00000000-0005-0000-0000-0000171E0000}"/>
    <cellStyle name="Accent6 95 3" xfId="7704" xr:uid="{00000000-0005-0000-0000-0000181E0000}"/>
    <cellStyle name="Accent6 96" xfId="7705" xr:uid="{00000000-0005-0000-0000-0000191E0000}"/>
    <cellStyle name="Accent6 96 2" xfId="7706" xr:uid="{00000000-0005-0000-0000-00001A1E0000}"/>
    <cellStyle name="Accent6 96 2 2" xfId="7707" xr:uid="{00000000-0005-0000-0000-00001B1E0000}"/>
    <cellStyle name="Accent6 96 3" xfId="7708" xr:uid="{00000000-0005-0000-0000-00001C1E0000}"/>
    <cellStyle name="Accent6 97" xfId="7709" xr:uid="{00000000-0005-0000-0000-00001D1E0000}"/>
    <cellStyle name="Accent6 97 2" xfId="7710" xr:uid="{00000000-0005-0000-0000-00001E1E0000}"/>
    <cellStyle name="Accent6 97 2 2" xfId="7711" xr:uid="{00000000-0005-0000-0000-00001F1E0000}"/>
    <cellStyle name="Accent6 97 3" xfId="7712" xr:uid="{00000000-0005-0000-0000-0000201E0000}"/>
    <cellStyle name="Accent6 98" xfId="7713" xr:uid="{00000000-0005-0000-0000-0000211E0000}"/>
    <cellStyle name="Accent6 98 2" xfId="7714" xr:uid="{00000000-0005-0000-0000-0000221E0000}"/>
    <cellStyle name="Accent6 98 2 2" xfId="7715" xr:uid="{00000000-0005-0000-0000-0000231E0000}"/>
    <cellStyle name="Accent6 98 3" xfId="7716" xr:uid="{00000000-0005-0000-0000-0000241E0000}"/>
    <cellStyle name="Accent6 99" xfId="7717" xr:uid="{00000000-0005-0000-0000-0000251E0000}"/>
    <cellStyle name="Accent6 99 2" xfId="7718" xr:uid="{00000000-0005-0000-0000-0000261E0000}"/>
    <cellStyle name="Accent6 99 2 2" xfId="7719" xr:uid="{00000000-0005-0000-0000-0000271E0000}"/>
    <cellStyle name="Accent6 99 3" xfId="7720" xr:uid="{00000000-0005-0000-0000-0000281E0000}"/>
    <cellStyle name="active" xfId="7721" xr:uid="{00000000-0005-0000-0000-0000291E0000}"/>
    <cellStyle name="active 2" xfId="7722" xr:uid="{00000000-0005-0000-0000-00002A1E0000}"/>
    <cellStyle name="active 2 2" xfId="7723" xr:uid="{00000000-0005-0000-0000-00002B1E0000}"/>
    <cellStyle name="active 2 2 2" xfId="7724" xr:uid="{00000000-0005-0000-0000-00002C1E0000}"/>
    <cellStyle name="active 2 3" xfId="7725" xr:uid="{00000000-0005-0000-0000-00002D1E0000}"/>
    <cellStyle name="active 2 3 2" xfId="7726" xr:uid="{00000000-0005-0000-0000-00002E1E0000}"/>
    <cellStyle name="active 2 3 2 2" xfId="7727" xr:uid="{00000000-0005-0000-0000-00002F1E0000}"/>
    <cellStyle name="active 2 3 3" xfId="7728" xr:uid="{00000000-0005-0000-0000-0000301E0000}"/>
    <cellStyle name="active 2 4" xfId="7729" xr:uid="{00000000-0005-0000-0000-0000311E0000}"/>
    <cellStyle name="active 3" xfId="7730" xr:uid="{00000000-0005-0000-0000-0000321E0000}"/>
    <cellStyle name="active 3 2" xfId="7731" xr:uid="{00000000-0005-0000-0000-0000331E0000}"/>
    <cellStyle name="active 3 2 2" xfId="7732" xr:uid="{00000000-0005-0000-0000-0000341E0000}"/>
    <cellStyle name="active 3 3" xfId="7733" xr:uid="{00000000-0005-0000-0000-0000351E0000}"/>
    <cellStyle name="active 4" xfId="7734" xr:uid="{00000000-0005-0000-0000-0000361E0000}"/>
    <cellStyle name="active 4 2" xfId="7735" xr:uid="{00000000-0005-0000-0000-0000371E0000}"/>
    <cellStyle name="active 5" xfId="7736" xr:uid="{00000000-0005-0000-0000-0000381E0000}"/>
    <cellStyle name="active 5 2" xfId="7737" xr:uid="{00000000-0005-0000-0000-0000391E0000}"/>
    <cellStyle name="active 6" xfId="7738" xr:uid="{00000000-0005-0000-0000-00003A1E0000}"/>
    <cellStyle name="Actual Date" xfId="7739" xr:uid="{00000000-0005-0000-0000-00003B1E0000}"/>
    <cellStyle name="Actual Date 2" xfId="7740" xr:uid="{00000000-0005-0000-0000-00003C1E0000}"/>
    <cellStyle name="Actual Date 2 2" xfId="7741" xr:uid="{00000000-0005-0000-0000-00003D1E0000}"/>
    <cellStyle name="Actual Date 3" xfId="7742" xr:uid="{00000000-0005-0000-0000-00003E1E0000}"/>
    <cellStyle name="Actual Date 3 2" xfId="7743" xr:uid="{00000000-0005-0000-0000-00003F1E0000}"/>
    <cellStyle name="Actual Date 4" xfId="7744" xr:uid="{00000000-0005-0000-0000-0000401E0000}"/>
    <cellStyle name="Actual Date 5" xfId="7745" xr:uid="{00000000-0005-0000-0000-0000411E0000}"/>
    <cellStyle name="args.style" xfId="7746" xr:uid="{00000000-0005-0000-0000-0000421E0000}"/>
    <cellStyle name="args.style 2" xfId="7747" xr:uid="{00000000-0005-0000-0000-0000431E0000}"/>
    <cellStyle name="args.style 2 2" xfId="7748" xr:uid="{00000000-0005-0000-0000-0000441E0000}"/>
    <cellStyle name="args.style 2 2 2" xfId="7749" xr:uid="{00000000-0005-0000-0000-0000451E0000}"/>
    <cellStyle name="args.style 2 3" xfId="7750" xr:uid="{00000000-0005-0000-0000-0000461E0000}"/>
    <cellStyle name="args.style 2 3 2" xfId="7751" xr:uid="{00000000-0005-0000-0000-0000471E0000}"/>
    <cellStyle name="args.style 2 3 2 2" xfId="7752" xr:uid="{00000000-0005-0000-0000-0000481E0000}"/>
    <cellStyle name="args.style 2 3 3" xfId="7753" xr:uid="{00000000-0005-0000-0000-0000491E0000}"/>
    <cellStyle name="args.style 2 4" xfId="7754" xr:uid="{00000000-0005-0000-0000-00004A1E0000}"/>
    <cellStyle name="args.style 3" xfId="7755" xr:uid="{00000000-0005-0000-0000-00004B1E0000}"/>
    <cellStyle name="args.style 3 2" xfId="7756" xr:uid="{00000000-0005-0000-0000-00004C1E0000}"/>
    <cellStyle name="args.style 3 2 2" xfId="7757" xr:uid="{00000000-0005-0000-0000-00004D1E0000}"/>
    <cellStyle name="args.style 3 3" xfId="7758" xr:uid="{00000000-0005-0000-0000-00004E1E0000}"/>
    <cellStyle name="args.style 4" xfId="7759" xr:uid="{00000000-0005-0000-0000-00004F1E0000}"/>
    <cellStyle name="args.style 4 2" xfId="7760" xr:uid="{00000000-0005-0000-0000-0000501E0000}"/>
    <cellStyle name="args.style 4 2 2" xfId="7761" xr:uid="{00000000-0005-0000-0000-0000511E0000}"/>
    <cellStyle name="args.style 4 3" xfId="7762" xr:uid="{00000000-0005-0000-0000-0000521E0000}"/>
    <cellStyle name="args.style 5" xfId="7763" xr:uid="{00000000-0005-0000-0000-0000531E0000}"/>
    <cellStyle name="args.style 5 2" xfId="7764" xr:uid="{00000000-0005-0000-0000-0000541E0000}"/>
    <cellStyle name="args.style 6" xfId="7765" xr:uid="{00000000-0005-0000-0000-0000551E0000}"/>
    <cellStyle name="args.style 6 2" xfId="7766" xr:uid="{00000000-0005-0000-0000-0000561E0000}"/>
    <cellStyle name="args.style 7" xfId="7767" xr:uid="{00000000-0005-0000-0000-0000571E0000}"/>
    <cellStyle name="Bad 2" xfId="7768" xr:uid="{00000000-0005-0000-0000-0000581E0000}"/>
    <cellStyle name="Bad 2 10" xfId="7769" xr:uid="{00000000-0005-0000-0000-0000591E0000}"/>
    <cellStyle name="Bad 2 10 2" xfId="7770" xr:uid="{00000000-0005-0000-0000-00005A1E0000}"/>
    <cellStyle name="Bad 2 11" xfId="7771" xr:uid="{00000000-0005-0000-0000-00005B1E0000}"/>
    <cellStyle name="Bad 2 12" xfId="7772" xr:uid="{00000000-0005-0000-0000-00005C1E0000}"/>
    <cellStyle name="Bad 2 2" xfId="7773" xr:uid="{00000000-0005-0000-0000-00005D1E0000}"/>
    <cellStyle name="Bad 2 2 2" xfId="7774" xr:uid="{00000000-0005-0000-0000-00005E1E0000}"/>
    <cellStyle name="Bad 2 2 2 2" xfId="7775" xr:uid="{00000000-0005-0000-0000-00005F1E0000}"/>
    <cellStyle name="Bad 2 2 3" xfId="7776" xr:uid="{00000000-0005-0000-0000-0000601E0000}"/>
    <cellStyle name="Bad 2 2 3 2" xfId="7777" xr:uid="{00000000-0005-0000-0000-0000611E0000}"/>
    <cellStyle name="Bad 2 2 3 2 2" xfId="7778" xr:uid="{00000000-0005-0000-0000-0000621E0000}"/>
    <cellStyle name="Bad 2 2 3 3" xfId="7779" xr:uid="{00000000-0005-0000-0000-0000631E0000}"/>
    <cellStyle name="Bad 2 2 4" xfId="7780" xr:uid="{00000000-0005-0000-0000-0000641E0000}"/>
    <cellStyle name="Bad 2 2 4 2" xfId="7781" xr:uid="{00000000-0005-0000-0000-0000651E0000}"/>
    <cellStyle name="Bad 2 2 5" xfId="7782" xr:uid="{00000000-0005-0000-0000-0000661E0000}"/>
    <cellStyle name="Bad 2 3" xfId="7783" xr:uid="{00000000-0005-0000-0000-0000671E0000}"/>
    <cellStyle name="Bad 2 3 2" xfId="7784" xr:uid="{00000000-0005-0000-0000-0000681E0000}"/>
    <cellStyle name="Bad 2 3 2 2" xfId="7785" xr:uid="{00000000-0005-0000-0000-0000691E0000}"/>
    <cellStyle name="Bad 2 3 3" xfId="7786" xr:uid="{00000000-0005-0000-0000-00006A1E0000}"/>
    <cellStyle name="Bad 2 3 3 2" xfId="7787" xr:uid="{00000000-0005-0000-0000-00006B1E0000}"/>
    <cellStyle name="Bad 2 3 3 2 2" xfId="7788" xr:uid="{00000000-0005-0000-0000-00006C1E0000}"/>
    <cellStyle name="Bad 2 3 3 3" xfId="7789" xr:uid="{00000000-0005-0000-0000-00006D1E0000}"/>
    <cellStyle name="Bad 2 3 4" xfId="7790" xr:uid="{00000000-0005-0000-0000-00006E1E0000}"/>
    <cellStyle name="Bad 2 4" xfId="7791" xr:uid="{00000000-0005-0000-0000-00006F1E0000}"/>
    <cellStyle name="Bad 2 4 2" xfId="7792" xr:uid="{00000000-0005-0000-0000-0000701E0000}"/>
    <cellStyle name="Bad 2 4 2 2" xfId="7793" xr:uid="{00000000-0005-0000-0000-0000711E0000}"/>
    <cellStyle name="Bad 2 4 3" xfId="7794" xr:uid="{00000000-0005-0000-0000-0000721E0000}"/>
    <cellStyle name="Bad 2 5" xfId="7795" xr:uid="{00000000-0005-0000-0000-0000731E0000}"/>
    <cellStyle name="Bad 2 5 2" xfId="7796" xr:uid="{00000000-0005-0000-0000-0000741E0000}"/>
    <cellStyle name="Bad 2 5 2 2" xfId="7797" xr:uid="{00000000-0005-0000-0000-0000751E0000}"/>
    <cellStyle name="Bad 2 5 3" xfId="7798" xr:uid="{00000000-0005-0000-0000-0000761E0000}"/>
    <cellStyle name="Bad 2 5 3 2" xfId="7799" xr:uid="{00000000-0005-0000-0000-0000771E0000}"/>
    <cellStyle name="Bad 2 5 3 2 2" xfId="7800" xr:uid="{00000000-0005-0000-0000-0000781E0000}"/>
    <cellStyle name="Bad 2 5 3 3" xfId="7801" xr:uid="{00000000-0005-0000-0000-0000791E0000}"/>
    <cellStyle name="Bad 2 5 4" xfId="7802" xr:uid="{00000000-0005-0000-0000-00007A1E0000}"/>
    <cellStyle name="Bad 2 6" xfId="7803" xr:uid="{00000000-0005-0000-0000-00007B1E0000}"/>
    <cellStyle name="Bad 2 6 2" xfId="7804" xr:uid="{00000000-0005-0000-0000-00007C1E0000}"/>
    <cellStyle name="Bad 2 6 2 2" xfId="7805" xr:uid="{00000000-0005-0000-0000-00007D1E0000}"/>
    <cellStyle name="Bad 2 6 3" xfId="7806" xr:uid="{00000000-0005-0000-0000-00007E1E0000}"/>
    <cellStyle name="Bad 2 6 3 2" xfId="7807" xr:uid="{00000000-0005-0000-0000-00007F1E0000}"/>
    <cellStyle name="Bad 2 6 4" xfId="7808" xr:uid="{00000000-0005-0000-0000-0000801E0000}"/>
    <cellStyle name="Bad 2 7" xfId="7809" xr:uid="{00000000-0005-0000-0000-0000811E0000}"/>
    <cellStyle name="Bad 2 7 2" xfId="7810" xr:uid="{00000000-0005-0000-0000-0000821E0000}"/>
    <cellStyle name="Bad 2 8" xfId="7811" xr:uid="{00000000-0005-0000-0000-0000831E0000}"/>
    <cellStyle name="Bad 2 8 2" xfId="7812" xr:uid="{00000000-0005-0000-0000-0000841E0000}"/>
    <cellStyle name="Bad 2 8 2 2" xfId="7813" xr:uid="{00000000-0005-0000-0000-0000851E0000}"/>
    <cellStyle name="Bad 2 8 3" xfId="7814" xr:uid="{00000000-0005-0000-0000-0000861E0000}"/>
    <cellStyle name="Bad 2 9" xfId="7815" xr:uid="{00000000-0005-0000-0000-0000871E0000}"/>
    <cellStyle name="Bad 2 9 2" xfId="7816" xr:uid="{00000000-0005-0000-0000-0000881E0000}"/>
    <cellStyle name="Bad 2 9 2 2" xfId="7817" xr:uid="{00000000-0005-0000-0000-0000891E0000}"/>
    <cellStyle name="Bad 2 9 3" xfId="7818" xr:uid="{00000000-0005-0000-0000-00008A1E0000}"/>
    <cellStyle name="Bad 3" xfId="7819" xr:uid="{00000000-0005-0000-0000-00008B1E0000}"/>
    <cellStyle name="Bad 3 2" xfId="7820" xr:uid="{00000000-0005-0000-0000-00008C1E0000}"/>
    <cellStyle name="Bad 3 2 2" xfId="7821" xr:uid="{00000000-0005-0000-0000-00008D1E0000}"/>
    <cellStyle name="Bad 3 3" xfId="7822" xr:uid="{00000000-0005-0000-0000-00008E1E0000}"/>
    <cellStyle name="Bad 3 3 2" xfId="7823" xr:uid="{00000000-0005-0000-0000-00008F1E0000}"/>
    <cellStyle name="Bad 3 4" xfId="7824" xr:uid="{00000000-0005-0000-0000-0000901E0000}"/>
    <cellStyle name="Bad 3 4 2" xfId="7825" xr:uid="{00000000-0005-0000-0000-0000911E0000}"/>
    <cellStyle name="Bad 3 4 2 2" xfId="7826" xr:uid="{00000000-0005-0000-0000-0000921E0000}"/>
    <cellStyle name="Bad 3 4 3" xfId="7827" xr:uid="{00000000-0005-0000-0000-0000931E0000}"/>
    <cellStyle name="Bad 3 5" xfId="7828" xr:uid="{00000000-0005-0000-0000-0000941E0000}"/>
    <cellStyle name="Bad 4" xfId="7829" xr:uid="{00000000-0005-0000-0000-0000951E0000}"/>
    <cellStyle name="Bad 4 2" xfId="7830" xr:uid="{00000000-0005-0000-0000-0000961E0000}"/>
    <cellStyle name="Bad 4 2 2" xfId="7831" xr:uid="{00000000-0005-0000-0000-0000971E0000}"/>
    <cellStyle name="Bad 4 3" xfId="7832" xr:uid="{00000000-0005-0000-0000-0000981E0000}"/>
    <cellStyle name="Bad 4 3 2" xfId="7833" xr:uid="{00000000-0005-0000-0000-0000991E0000}"/>
    <cellStyle name="Bad 4 3 2 2" xfId="7834" xr:uid="{00000000-0005-0000-0000-00009A1E0000}"/>
    <cellStyle name="Bad 4 3 3" xfId="7835" xr:uid="{00000000-0005-0000-0000-00009B1E0000}"/>
    <cellStyle name="Bad 4 4" xfId="7836" xr:uid="{00000000-0005-0000-0000-00009C1E0000}"/>
    <cellStyle name="Bad 5" xfId="7837" xr:uid="{00000000-0005-0000-0000-00009D1E0000}"/>
    <cellStyle name="Bad 5 2" xfId="7838" xr:uid="{00000000-0005-0000-0000-00009E1E0000}"/>
    <cellStyle name="Bad 5 2 2" xfId="7839" xr:uid="{00000000-0005-0000-0000-00009F1E0000}"/>
    <cellStyle name="Bad 5 2 2 2" xfId="7840" xr:uid="{00000000-0005-0000-0000-0000A01E0000}"/>
    <cellStyle name="Bad 5 2 2 2 2" xfId="7841" xr:uid="{00000000-0005-0000-0000-0000A11E0000}"/>
    <cellStyle name="Bad 5 2 2 3" xfId="7842" xr:uid="{00000000-0005-0000-0000-0000A21E0000}"/>
    <cellStyle name="Bad 5 2 2 3 2" xfId="7843" xr:uid="{00000000-0005-0000-0000-0000A31E0000}"/>
    <cellStyle name="Bad 5 2 2 3 2 2" xfId="7844" xr:uid="{00000000-0005-0000-0000-0000A41E0000}"/>
    <cellStyle name="Bad 5 2 2 3 3" xfId="7845" xr:uid="{00000000-0005-0000-0000-0000A51E0000}"/>
    <cellStyle name="Bad 5 2 2 4" xfId="7846" xr:uid="{00000000-0005-0000-0000-0000A61E0000}"/>
    <cellStyle name="Bad 5 2 3" xfId="7847" xr:uid="{00000000-0005-0000-0000-0000A71E0000}"/>
    <cellStyle name="Bad 5 2 3 2" xfId="7848" xr:uid="{00000000-0005-0000-0000-0000A81E0000}"/>
    <cellStyle name="Bad 5 2 4" xfId="7849" xr:uid="{00000000-0005-0000-0000-0000A91E0000}"/>
    <cellStyle name="Bad 5 2 4 2" xfId="7850" xr:uid="{00000000-0005-0000-0000-0000AA1E0000}"/>
    <cellStyle name="Bad 5 2 4 2 2" xfId="7851" xr:uid="{00000000-0005-0000-0000-0000AB1E0000}"/>
    <cellStyle name="Bad 5 2 4 3" xfId="7852" xr:uid="{00000000-0005-0000-0000-0000AC1E0000}"/>
    <cellStyle name="Bad 5 2 5" xfId="7853" xr:uid="{00000000-0005-0000-0000-0000AD1E0000}"/>
    <cellStyle name="Bad 5 3" xfId="7854" xr:uid="{00000000-0005-0000-0000-0000AE1E0000}"/>
    <cellStyle name="Bad 5 3 2" xfId="7855" xr:uid="{00000000-0005-0000-0000-0000AF1E0000}"/>
    <cellStyle name="Bad 5 3 2 2" xfId="7856" xr:uid="{00000000-0005-0000-0000-0000B01E0000}"/>
    <cellStyle name="Bad 5 3 3" xfId="7857" xr:uid="{00000000-0005-0000-0000-0000B11E0000}"/>
    <cellStyle name="Bad 5 4" xfId="7858" xr:uid="{00000000-0005-0000-0000-0000B21E0000}"/>
    <cellStyle name="Bad 5 4 2" xfId="7859" xr:uid="{00000000-0005-0000-0000-0000B31E0000}"/>
    <cellStyle name="Bad 5 5" xfId="7860" xr:uid="{00000000-0005-0000-0000-0000B41E0000}"/>
    <cellStyle name="Bad 5 5 2" xfId="7861" xr:uid="{00000000-0005-0000-0000-0000B51E0000}"/>
    <cellStyle name="Bad 5 5 2 2" xfId="7862" xr:uid="{00000000-0005-0000-0000-0000B61E0000}"/>
    <cellStyle name="Bad 5 5 3" xfId="7863" xr:uid="{00000000-0005-0000-0000-0000B71E0000}"/>
    <cellStyle name="Bad 5 6" xfId="7864" xr:uid="{00000000-0005-0000-0000-0000B81E0000}"/>
    <cellStyle name="Bad 6" xfId="7865" xr:uid="{00000000-0005-0000-0000-0000B91E0000}"/>
    <cellStyle name="Bad 6 2" xfId="7866" xr:uid="{00000000-0005-0000-0000-0000BA1E0000}"/>
    <cellStyle name="Bad 6 2 2" xfId="7867" xr:uid="{00000000-0005-0000-0000-0000BB1E0000}"/>
    <cellStyle name="Bad 6 3" xfId="7868" xr:uid="{00000000-0005-0000-0000-0000BC1E0000}"/>
    <cellStyle name="Bad 7" xfId="7869" xr:uid="{00000000-0005-0000-0000-0000BD1E0000}"/>
    <cellStyle name="Bad 7 2" xfId="7870" xr:uid="{00000000-0005-0000-0000-0000BE1E0000}"/>
    <cellStyle name="Bad 8" xfId="7871" xr:uid="{00000000-0005-0000-0000-0000BF1E0000}"/>
    <cellStyle name="Bad 9" xfId="7872" xr:uid="{00000000-0005-0000-0000-0000C01E0000}"/>
    <cellStyle name="Body" xfId="7873" xr:uid="{00000000-0005-0000-0000-0000C11E0000}"/>
    <cellStyle name="Body 2" xfId="7874" xr:uid="{00000000-0005-0000-0000-0000C21E0000}"/>
    <cellStyle name="Body 2 2" xfId="7875" xr:uid="{00000000-0005-0000-0000-0000C31E0000}"/>
    <cellStyle name="Body 2 2 2" xfId="7876" xr:uid="{00000000-0005-0000-0000-0000C41E0000}"/>
    <cellStyle name="Body 2 3" xfId="7877" xr:uid="{00000000-0005-0000-0000-0000C51E0000}"/>
    <cellStyle name="Body 2 3 2" xfId="7878" xr:uid="{00000000-0005-0000-0000-0000C61E0000}"/>
    <cellStyle name="Body 2 3 2 2" xfId="7879" xr:uid="{00000000-0005-0000-0000-0000C71E0000}"/>
    <cellStyle name="Body 2 3 3" xfId="7880" xr:uid="{00000000-0005-0000-0000-0000C81E0000}"/>
    <cellStyle name="Body 2 4" xfId="7881" xr:uid="{00000000-0005-0000-0000-0000C91E0000}"/>
    <cellStyle name="Body 3" xfId="7882" xr:uid="{00000000-0005-0000-0000-0000CA1E0000}"/>
    <cellStyle name="Body 3 2" xfId="7883" xr:uid="{00000000-0005-0000-0000-0000CB1E0000}"/>
    <cellStyle name="Body 3 2 2" xfId="7884" xr:uid="{00000000-0005-0000-0000-0000CC1E0000}"/>
    <cellStyle name="Body 3 3" xfId="7885" xr:uid="{00000000-0005-0000-0000-0000CD1E0000}"/>
    <cellStyle name="Body 4" xfId="7886" xr:uid="{00000000-0005-0000-0000-0000CE1E0000}"/>
    <cellStyle name="Body 4 2" xfId="7887" xr:uid="{00000000-0005-0000-0000-0000CF1E0000}"/>
    <cellStyle name="Body 5" xfId="7888" xr:uid="{00000000-0005-0000-0000-0000D01E0000}"/>
    <cellStyle name="Body 5 2" xfId="7889" xr:uid="{00000000-0005-0000-0000-0000D11E0000}"/>
    <cellStyle name="Body 6" xfId="7890" xr:uid="{00000000-0005-0000-0000-0000D21E0000}"/>
    <cellStyle name="BorderedPercent" xfId="7891" xr:uid="{00000000-0005-0000-0000-0000D31E0000}"/>
    <cellStyle name="Boxed Integer" xfId="7892" xr:uid="{00000000-0005-0000-0000-0000D41E0000}"/>
    <cellStyle name="Calc" xfId="7893" xr:uid="{00000000-0005-0000-0000-0000D51E0000}"/>
    <cellStyle name="Calc Currency (0)" xfId="7894" xr:uid="{00000000-0005-0000-0000-0000D61E0000}"/>
    <cellStyle name="Calc Currency (0) 2" xfId="7895" xr:uid="{00000000-0005-0000-0000-0000D71E0000}"/>
    <cellStyle name="Calc Currency (0) 2 2" xfId="7896" xr:uid="{00000000-0005-0000-0000-0000D81E0000}"/>
    <cellStyle name="Calc Currency (0) 3" xfId="7897" xr:uid="{00000000-0005-0000-0000-0000D91E0000}"/>
    <cellStyle name="Calculation 10" xfId="7898" xr:uid="{00000000-0005-0000-0000-0000DA1E0000}"/>
    <cellStyle name="Calculation 2" xfId="7899" xr:uid="{00000000-0005-0000-0000-0000DB1E0000}"/>
    <cellStyle name="Calculation 2 10" xfId="7900" xr:uid="{00000000-0005-0000-0000-0000DC1E0000}"/>
    <cellStyle name="Calculation 2 10 2" xfId="7901" xr:uid="{00000000-0005-0000-0000-0000DD1E0000}"/>
    <cellStyle name="Calculation 2 10 3" xfId="7902" xr:uid="{00000000-0005-0000-0000-0000DE1E0000}"/>
    <cellStyle name="Calculation 2 11" xfId="7903" xr:uid="{00000000-0005-0000-0000-0000DF1E0000}"/>
    <cellStyle name="Calculation 2 11 2" xfId="7904" xr:uid="{00000000-0005-0000-0000-0000E01E0000}"/>
    <cellStyle name="Calculation 2 12" xfId="7905" xr:uid="{00000000-0005-0000-0000-0000E11E0000}"/>
    <cellStyle name="Calculation 2 13" xfId="7906" xr:uid="{00000000-0005-0000-0000-0000E21E0000}"/>
    <cellStyle name="Calculation 2 2" xfId="7907" xr:uid="{00000000-0005-0000-0000-0000E31E0000}"/>
    <cellStyle name="Calculation 2 2 2" xfId="7908" xr:uid="{00000000-0005-0000-0000-0000E41E0000}"/>
    <cellStyle name="Calculation 2 2 2 2" xfId="7909" xr:uid="{00000000-0005-0000-0000-0000E51E0000}"/>
    <cellStyle name="Calculation 2 2 3" xfId="7910" xr:uid="{00000000-0005-0000-0000-0000E61E0000}"/>
    <cellStyle name="Calculation 2 2 3 2" xfId="7911" xr:uid="{00000000-0005-0000-0000-0000E71E0000}"/>
    <cellStyle name="Calculation 2 2 3 2 2" xfId="7912" xr:uid="{00000000-0005-0000-0000-0000E81E0000}"/>
    <cellStyle name="Calculation 2 2 3 3" xfId="7913" xr:uid="{00000000-0005-0000-0000-0000E91E0000}"/>
    <cellStyle name="Calculation 2 2 4" xfId="7914" xr:uid="{00000000-0005-0000-0000-0000EA1E0000}"/>
    <cellStyle name="Calculation 2 3" xfId="7915" xr:uid="{00000000-0005-0000-0000-0000EB1E0000}"/>
    <cellStyle name="Calculation 2 3 2" xfId="7916" xr:uid="{00000000-0005-0000-0000-0000EC1E0000}"/>
    <cellStyle name="Calculation 2 3 2 2" xfId="7917" xr:uid="{00000000-0005-0000-0000-0000ED1E0000}"/>
    <cellStyle name="Calculation 2 3 2 2 2" xfId="7918" xr:uid="{00000000-0005-0000-0000-0000EE1E0000}"/>
    <cellStyle name="Calculation 2 3 2 3" xfId="7919" xr:uid="{00000000-0005-0000-0000-0000EF1E0000}"/>
    <cellStyle name="Calculation 2 3 3" xfId="7920" xr:uid="{00000000-0005-0000-0000-0000F01E0000}"/>
    <cellStyle name="Calculation 2 3 3 2" xfId="7921" xr:uid="{00000000-0005-0000-0000-0000F11E0000}"/>
    <cellStyle name="Calculation 2 3 3 2 2" xfId="7922" xr:uid="{00000000-0005-0000-0000-0000F21E0000}"/>
    <cellStyle name="Calculation 2 3 3 2 2 2" xfId="7923" xr:uid="{00000000-0005-0000-0000-0000F31E0000}"/>
    <cellStyle name="Calculation 2 3 3 2 3" xfId="7924" xr:uid="{00000000-0005-0000-0000-0000F41E0000}"/>
    <cellStyle name="Calculation 2 3 3 3" xfId="7925" xr:uid="{00000000-0005-0000-0000-0000F51E0000}"/>
    <cellStyle name="Calculation 2 3 3 3 2" xfId="7926" xr:uid="{00000000-0005-0000-0000-0000F61E0000}"/>
    <cellStyle name="Calculation 2 3 3 4" xfId="7927" xr:uid="{00000000-0005-0000-0000-0000F71E0000}"/>
    <cellStyle name="Calculation 2 3 4" xfId="7928" xr:uid="{00000000-0005-0000-0000-0000F81E0000}"/>
    <cellStyle name="Calculation 2 3 4 2" xfId="7929" xr:uid="{00000000-0005-0000-0000-0000F91E0000}"/>
    <cellStyle name="Calculation 2 3 5" xfId="7930" xr:uid="{00000000-0005-0000-0000-0000FA1E0000}"/>
    <cellStyle name="Calculation 2 4" xfId="7931" xr:uid="{00000000-0005-0000-0000-0000FB1E0000}"/>
    <cellStyle name="Calculation 2 4 2" xfId="7932" xr:uid="{00000000-0005-0000-0000-0000FC1E0000}"/>
    <cellStyle name="Calculation 2 4 2 2" xfId="7933" xr:uid="{00000000-0005-0000-0000-0000FD1E0000}"/>
    <cellStyle name="Calculation 2 4 2 2 2" xfId="7934" xr:uid="{00000000-0005-0000-0000-0000FE1E0000}"/>
    <cellStyle name="Calculation 2 4 2 3" xfId="7935" xr:uid="{00000000-0005-0000-0000-0000FF1E0000}"/>
    <cellStyle name="Calculation 2 4 3" xfId="7936" xr:uid="{00000000-0005-0000-0000-0000001F0000}"/>
    <cellStyle name="Calculation 2 4 3 2" xfId="7937" xr:uid="{00000000-0005-0000-0000-0000011F0000}"/>
    <cellStyle name="Calculation 2 4 4" xfId="7938" xr:uid="{00000000-0005-0000-0000-0000021F0000}"/>
    <cellStyle name="Calculation 2 5" xfId="7939" xr:uid="{00000000-0005-0000-0000-0000031F0000}"/>
    <cellStyle name="Calculation 2 5 2" xfId="7940" xr:uid="{00000000-0005-0000-0000-0000041F0000}"/>
    <cellStyle name="Calculation 2 5 2 2" xfId="7941" xr:uid="{00000000-0005-0000-0000-0000051F0000}"/>
    <cellStyle name="Calculation 2 5 2 2 2" xfId="7942" xr:uid="{00000000-0005-0000-0000-0000061F0000}"/>
    <cellStyle name="Calculation 2 5 2 3" xfId="7943" xr:uid="{00000000-0005-0000-0000-0000071F0000}"/>
    <cellStyle name="Calculation 2 5 3" xfId="7944" xr:uid="{00000000-0005-0000-0000-0000081F0000}"/>
    <cellStyle name="Calculation 2 5 3 2" xfId="7945" xr:uid="{00000000-0005-0000-0000-0000091F0000}"/>
    <cellStyle name="Calculation 2 5 3 2 2" xfId="7946" xr:uid="{00000000-0005-0000-0000-00000A1F0000}"/>
    <cellStyle name="Calculation 2 5 3 2 2 2" xfId="7947" xr:uid="{00000000-0005-0000-0000-00000B1F0000}"/>
    <cellStyle name="Calculation 2 5 3 2 3" xfId="7948" xr:uid="{00000000-0005-0000-0000-00000C1F0000}"/>
    <cellStyle name="Calculation 2 5 3 3" xfId="7949" xr:uid="{00000000-0005-0000-0000-00000D1F0000}"/>
    <cellStyle name="Calculation 2 5 3 3 2" xfId="7950" xr:uid="{00000000-0005-0000-0000-00000E1F0000}"/>
    <cellStyle name="Calculation 2 5 3 4" xfId="7951" xr:uid="{00000000-0005-0000-0000-00000F1F0000}"/>
    <cellStyle name="Calculation 2 5 4" xfId="7952" xr:uid="{00000000-0005-0000-0000-0000101F0000}"/>
    <cellStyle name="Calculation 2 5 4 2" xfId="7953" xr:uid="{00000000-0005-0000-0000-0000111F0000}"/>
    <cellStyle name="Calculation 2 5 5" xfId="7954" xr:uid="{00000000-0005-0000-0000-0000121F0000}"/>
    <cellStyle name="Calculation 2 6" xfId="7955" xr:uid="{00000000-0005-0000-0000-0000131F0000}"/>
    <cellStyle name="Calculation 2 6 2" xfId="7956" xr:uid="{00000000-0005-0000-0000-0000141F0000}"/>
    <cellStyle name="Calculation 2 6 2 2" xfId="7957" xr:uid="{00000000-0005-0000-0000-0000151F0000}"/>
    <cellStyle name="Calculation 2 6 2 2 2" xfId="7958" xr:uid="{00000000-0005-0000-0000-0000161F0000}"/>
    <cellStyle name="Calculation 2 6 2 3" xfId="7959" xr:uid="{00000000-0005-0000-0000-0000171F0000}"/>
    <cellStyle name="Calculation 2 6 3" xfId="7960" xr:uid="{00000000-0005-0000-0000-0000181F0000}"/>
    <cellStyle name="Calculation 2 6 3 2" xfId="7961" xr:uid="{00000000-0005-0000-0000-0000191F0000}"/>
    <cellStyle name="Calculation 2 6 3 2 2" xfId="7962" xr:uid="{00000000-0005-0000-0000-00001A1F0000}"/>
    <cellStyle name="Calculation 2 6 3 2 2 2" xfId="7963" xr:uid="{00000000-0005-0000-0000-00001B1F0000}"/>
    <cellStyle name="Calculation 2 6 3 2 2 2 2" xfId="7964" xr:uid="{00000000-0005-0000-0000-00001C1F0000}"/>
    <cellStyle name="Calculation 2 6 3 2 2 3" xfId="7965" xr:uid="{00000000-0005-0000-0000-00001D1F0000}"/>
    <cellStyle name="Calculation 2 6 3 2 3" xfId="7966" xr:uid="{00000000-0005-0000-0000-00001E1F0000}"/>
    <cellStyle name="Calculation 2 6 3 2 3 2" xfId="7967" xr:uid="{00000000-0005-0000-0000-00001F1F0000}"/>
    <cellStyle name="Calculation 2 6 3 2 4" xfId="7968" xr:uid="{00000000-0005-0000-0000-0000201F0000}"/>
    <cellStyle name="Calculation 2 6 3 3" xfId="7969" xr:uid="{00000000-0005-0000-0000-0000211F0000}"/>
    <cellStyle name="Calculation 2 6 3 3 2" xfId="7970" xr:uid="{00000000-0005-0000-0000-0000221F0000}"/>
    <cellStyle name="Calculation 2 6 3 3 2 2" xfId="7971" xr:uid="{00000000-0005-0000-0000-0000231F0000}"/>
    <cellStyle name="Calculation 2 6 3 3 3" xfId="7972" xr:uid="{00000000-0005-0000-0000-0000241F0000}"/>
    <cellStyle name="Calculation 2 6 3 4" xfId="7973" xr:uid="{00000000-0005-0000-0000-0000251F0000}"/>
    <cellStyle name="Calculation 2 6 3 4 2" xfId="7974" xr:uid="{00000000-0005-0000-0000-0000261F0000}"/>
    <cellStyle name="Calculation 2 6 3 5" xfId="7975" xr:uid="{00000000-0005-0000-0000-0000271F0000}"/>
    <cellStyle name="Calculation 2 6 4" xfId="7976" xr:uid="{00000000-0005-0000-0000-0000281F0000}"/>
    <cellStyle name="Calculation 2 6 4 2" xfId="7977" xr:uid="{00000000-0005-0000-0000-0000291F0000}"/>
    <cellStyle name="Calculation 2 6 4 2 2" xfId="7978" xr:uid="{00000000-0005-0000-0000-00002A1F0000}"/>
    <cellStyle name="Calculation 2 6 4 2 2 2" xfId="7979" xr:uid="{00000000-0005-0000-0000-00002B1F0000}"/>
    <cellStyle name="Calculation 2 6 4 2 3" xfId="7980" xr:uid="{00000000-0005-0000-0000-00002C1F0000}"/>
    <cellStyle name="Calculation 2 6 4 3" xfId="7981" xr:uid="{00000000-0005-0000-0000-00002D1F0000}"/>
    <cellStyle name="Calculation 2 6 4 3 2" xfId="7982" xr:uid="{00000000-0005-0000-0000-00002E1F0000}"/>
    <cellStyle name="Calculation 2 6 4 4" xfId="7983" xr:uid="{00000000-0005-0000-0000-00002F1F0000}"/>
    <cellStyle name="Calculation 2 6 5" xfId="7984" xr:uid="{00000000-0005-0000-0000-0000301F0000}"/>
    <cellStyle name="Calculation 2 6 5 2" xfId="7985" xr:uid="{00000000-0005-0000-0000-0000311F0000}"/>
    <cellStyle name="Calculation 2 6 5 2 2" xfId="7986" xr:uid="{00000000-0005-0000-0000-0000321F0000}"/>
    <cellStyle name="Calculation 2 6 5 3" xfId="7987" xr:uid="{00000000-0005-0000-0000-0000331F0000}"/>
    <cellStyle name="Calculation 2 6 6" xfId="7988" xr:uid="{00000000-0005-0000-0000-0000341F0000}"/>
    <cellStyle name="Calculation 2 6 6 2" xfId="7989" xr:uid="{00000000-0005-0000-0000-0000351F0000}"/>
    <cellStyle name="Calculation 2 6 7" xfId="7990" xr:uid="{00000000-0005-0000-0000-0000361F0000}"/>
    <cellStyle name="Calculation 2 7" xfId="7991" xr:uid="{00000000-0005-0000-0000-0000371F0000}"/>
    <cellStyle name="Calculation 2 7 2" xfId="7992" xr:uid="{00000000-0005-0000-0000-0000381F0000}"/>
    <cellStyle name="Calculation 2 7 2 2" xfId="7993" xr:uid="{00000000-0005-0000-0000-0000391F0000}"/>
    <cellStyle name="Calculation 2 7 3" xfId="7994" xr:uid="{00000000-0005-0000-0000-00003A1F0000}"/>
    <cellStyle name="Calculation 2 8" xfId="7995" xr:uid="{00000000-0005-0000-0000-00003B1F0000}"/>
    <cellStyle name="Calculation 2 8 2" xfId="7996" xr:uid="{00000000-0005-0000-0000-00003C1F0000}"/>
    <cellStyle name="Calculation 2 8 2 2" xfId="7997" xr:uid="{00000000-0005-0000-0000-00003D1F0000}"/>
    <cellStyle name="Calculation 2 8 2 2 2" xfId="7998" xr:uid="{00000000-0005-0000-0000-00003E1F0000}"/>
    <cellStyle name="Calculation 2 8 2 3" xfId="7999" xr:uid="{00000000-0005-0000-0000-00003F1F0000}"/>
    <cellStyle name="Calculation 2 8 3" xfId="8000" xr:uid="{00000000-0005-0000-0000-0000401F0000}"/>
    <cellStyle name="Calculation 2 8 3 2" xfId="8001" xr:uid="{00000000-0005-0000-0000-0000411F0000}"/>
    <cellStyle name="Calculation 2 8 4" xfId="8002" xr:uid="{00000000-0005-0000-0000-0000421F0000}"/>
    <cellStyle name="Calculation 2 9" xfId="8003" xr:uid="{00000000-0005-0000-0000-0000431F0000}"/>
    <cellStyle name="Calculation 2 9 2" xfId="8004" xr:uid="{00000000-0005-0000-0000-0000441F0000}"/>
    <cellStyle name="Calculation 2 9 2 2" xfId="8005" xr:uid="{00000000-0005-0000-0000-0000451F0000}"/>
    <cellStyle name="Calculation 2 9 2 2 2" xfId="8006" xr:uid="{00000000-0005-0000-0000-0000461F0000}"/>
    <cellStyle name="Calculation 2 9 2 3" xfId="8007" xr:uid="{00000000-0005-0000-0000-0000471F0000}"/>
    <cellStyle name="Calculation 2 9 3" xfId="8008" xr:uid="{00000000-0005-0000-0000-0000481F0000}"/>
    <cellStyle name="Calculation 2 9 3 2" xfId="8009" xr:uid="{00000000-0005-0000-0000-0000491F0000}"/>
    <cellStyle name="Calculation 2 9 4" xfId="8010" xr:uid="{00000000-0005-0000-0000-00004A1F0000}"/>
    <cellStyle name="Calculation 2 9 4 2" xfId="8011" xr:uid="{00000000-0005-0000-0000-00004B1F0000}"/>
    <cellStyle name="Calculation 2 9 5" xfId="8012" xr:uid="{00000000-0005-0000-0000-00004C1F0000}"/>
    <cellStyle name="Calculation 3" xfId="8013" xr:uid="{00000000-0005-0000-0000-00004D1F0000}"/>
    <cellStyle name="Calculation 3 2" xfId="8014" xr:uid="{00000000-0005-0000-0000-00004E1F0000}"/>
    <cellStyle name="Calculation 3 2 2" xfId="8015" xr:uid="{00000000-0005-0000-0000-00004F1F0000}"/>
    <cellStyle name="Calculation 3 2 2 2" xfId="8016" xr:uid="{00000000-0005-0000-0000-0000501F0000}"/>
    <cellStyle name="Calculation 3 2 3" xfId="8017" xr:uid="{00000000-0005-0000-0000-0000511F0000}"/>
    <cellStyle name="Calculation 3 3" xfId="8018" xr:uid="{00000000-0005-0000-0000-0000521F0000}"/>
    <cellStyle name="Calculation 3 3 2" xfId="8019" xr:uid="{00000000-0005-0000-0000-0000531F0000}"/>
    <cellStyle name="Calculation 3 4" xfId="8020" xr:uid="{00000000-0005-0000-0000-0000541F0000}"/>
    <cellStyle name="Calculation 3 4 2" xfId="8021" xr:uid="{00000000-0005-0000-0000-0000551F0000}"/>
    <cellStyle name="Calculation 3 4 2 2" xfId="8022" xr:uid="{00000000-0005-0000-0000-0000561F0000}"/>
    <cellStyle name="Calculation 3 4 3" xfId="8023" xr:uid="{00000000-0005-0000-0000-0000571F0000}"/>
    <cellStyle name="Calculation 3 5" xfId="8024" xr:uid="{00000000-0005-0000-0000-0000581F0000}"/>
    <cellStyle name="Calculation 4" xfId="8025" xr:uid="{00000000-0005-0000-0000-0000591F0000}"/>
    <cellStyle name="Calculation 4 2" xfId="8026" xr:uid="{00000000-0005-0000-0000-00005A1F0000}"/>
    <cellStyle name="Calculation 4 2 2" xfId="8027" xr:uid="{00000000-0005-0000-0000-00005B1F0000}"/>
    <cellStyle name="Calculation 4 3" xfId="8028" xr:uid="{00000000-0005-0000-0000-00005C1F0000}"/>
    <cellStyle name="Calculation 4 3 2" xfId="8029" xr:uid="{00000000-0005-0000-0000-00005D1F0000}"/>
    <cellStyle name="Calculation 4 3 2 2" xfId="8030" xr:uid="{00000000-0005-0000-0000-00005E1F0000}"/>
    <cellStyle name="Calculation 4 3 3" xfId="8031" xr:uid="{00000000-0005-0000-0000-00005F1F0000}"/>
    <cellStyle name="Calculation 4 4" xfId="8032" xr:uid="{00000000-0005-0000-0000-0000601F0000}"/>
    <cellStyle name="Calculation 5" xfId="8033" xr:uid="{00000000-0005-0000-0000-0000611F0000}"/>
    <cellStyle name="Calculation 5 2" xfId="8034" xr:uid="{00000000-0005-0000-0000-0000621F0000}"/>
    <cellStyle name="Calculation 5 2 2" xfId="8035" xr:uid="{00000000-0005-0000-0000-0000631F0000}"/>
    <cellStyle name="Calculation 5 2 2 2" xfId="8036" xr:uid="{00000000-0005-0000-0000-0000641F0000}"/>
    <cellStyle name="Calculation 5 2 3" xfId="8037" xr:uid="{00000000-0005-0000-0000-0000651F0000}"/>
    <cellStyle name="Calculation 5 3" xfId="8038" xr:uid="{00000000-0005-0000-0000-0000661F0000}"/>
    <cellStyle name="Calculation 5 3 2" xfId="8039" xr:uid="{00000000-0005-0000-0000-0000671F0000}"/>
    <cellStyle name="Calculation 5 3 2 2" xfId="8040" xr:uid="{00000000-0005-0000-0000-0000681F0000}"/>
    <cellStyle name="Calculation 5 3 2 2 2" xfId="8041" xr:uid="{00000000-0005-0000-0000-0000691F0000}"/>
    <cellStyle name="Calculation 5 3 2 3" xfId="8042" xr:uid="{00000000-0005-0000-0000-00006A1F0000}"/>
    <cellStyle name="Calculation 5 3 3" xfId="8043" xr:uid="{00000000-0005-0000-0000-00006B1F0000}"/>
    <cellStyle name="Calculation 5 3 3 2" xfId="8044" xr:uid="{00000000-0005-0000-0000-00006C1F0000}"/>
    <cellStyle name="Calculation 5 3 4" xfId="8045" xr:uid="{00000000-0005-0000-0000-00006D1F0000}"/>
    <cellStyle name="Calculation 5 4" xfId="8046" xr:uid="{00000000-0005-0000-0000-00006E1F0000}"/>
    <cellStyle name="Calculation 5 4 2" xfId="8047" xr:uid="{00000000-0005-0000-0000-00006F1F0000}"/>
    <cellStyle name="Calculation 5 5" xfId="8048" xr:uid="{00000000-0005-0000-0000-0000701F0000}"/>
    <cellStyle name="Calculation 6" xfId="8049" xr:uid="{00000000-0005-0000-0000-0000711F0000}"/>
    <cellStyle name="Calculation 6 2" xfId="8050" xr:uid="{00000000-0005-0000-0000-0000721F0000}"/>
    <cellStyle name="Calculation 6 2 2" xfId="8051" xr:uid="{00000000-0005-0000-0000-0000731F0000}"/>
    <cellStyle name="Calculation 6 2 2 2" xfId="8052" xr:uid="{00000000-0005-0000-0000-0000741F0000}"/>
    <cellStyle name="Calculation 6 2 3" xfId="8053" xr:uid="{00000000-0005-0000-0000-0000751F0000}"/>
    <cellStyle name="Calculation 6 3" xfId="8054" xr:uid="{00000000-0005-0000-0000-0000761F0000}"/>
    <cellStyle name="Calculation 6 3 2" xfId="8055" xr:uid="{00000000-0005-0000-0000-0000771F0000}"/>
    <cellStyle name="Calculation 6 4" xfId="8056" xr:uid="{00000000-0005-0000-0000-0000781F0000}"/>
    <cellStyle name="Calculation 7" xfId="8057" xr:uid="{00000000-0005-0000-0000-0000791F0000}"/>
    <cellStyle name="Calculation 7 2" xfId="8058" xr:uid="{00000000-0005-0000-0000-00007A1F0000}"/>
    <cellStyle name="Calculation 8" xfId="8059" xr:uid="{00000000-0005-0000-0000-00007B1F0000}"/>
    <cellStyle name="Calculation 8 2" xfId="8060" xr:uid="{00000000-0005-0000-0000-00007C1F0000}"/>
    <cellStyle name="Calculation 9" xfId="8061" xr:uid="{00000000-0005-0000-0000-00007D1F0000}"/>
    <cellStyle name="Center" xfId="8062" xr:uid="{00000000-0005-0000-0000-00007E1F0000}"/>
    <cellStyle name="Center 2" xfId="8063" xr:uid="{00000000-0005-0000-0000-00007F1F0000}"/>
    <cellStyle name="Center 2 2" xfId="8064" xr:uid="{00000000-0005-0000-0000-0000801F0000}"/>
    <cellStyle name="Center 3" xfId="8065" xr:uid="{00000000-0005-0000-0000-0000811F0000}"/>
    <cellStyle name="Center 3 2" xfId="8066" xr:uid="{00000000-0005-0000-0000-0000821F0000}"/>
    <cellStyle name="Center 3 2 2" xfId="8067" xr:uid="{00000000-0005-0000-0000-0000831F0000}"/>
    <cellStyle name="Center 3 3" xfId="8068" xr:uid="{00000000-0005-0000-0000-0000841F0000}"/>
    <cellStyle name="Center 4" xfId="8069" xr:uid="{00000000-0005-0000-0000-0000851F0000}"/>
    <cellStyle name="CenterWrap" xfId="8070" xr:uid="{00000000-0005-0000-0000-0000861F0000}"/>
    <cellStyle name="Cents" xfId="8071" xr:uid="{00000000-0005-0000-0000-0000871F0000}"/>
    <cellStyle name="Check Cell 2" xfId="8072" xr:uid="{00000000-0005-0000-0000-0000881F0000}"/>
    <cellStyle name="Check Cell 2 10" xfId="8073" xr:uid="{00000000-0005-0000-0000-0000891F0000}"/>
    <cellStyle name="Check Cell 2 10 2" xfId="8074" xr:uid="{00000000-0005-0000-0000-00008A1F0000}"/>
    <cellStyle name="Check Cell 2 11" xfId="8075" xr:uid="{00000000-0005-0000-0000-00008B1F0000}"/>
    <cellStyle name="Check Cell 2 12" xfId="8076" xr:uid="{00000000-0005-0000-0000-00008C1F0000}"/>
    <cellStyle name="Check Cell 2 2" xfId="8077" xr:uid="{00000000-0005-0000-0000-00008D1F0000}"/>
    <cellStyle name="Check Cell 2 2 2" xfId="8078" xr:uid="{00000000-0005-0000-0000-00008E1F0000}"/>
    <cellStyle name="Check Cell 2 2 2 2" xfId="8079" xr:uid="{00000000-0005-0000-0000-00008F1F0000}"/>
    <cellStyle name="Check Cell 2 2 3" xfId="8080" xr:uid="{00000000-0005-0000-0000-0000901F0000}"/>
    <cellStyle name="Check Cell 2 2 3 2" xfId="8081" xr:uid="{00000000-0005-0000-0000-0000911F0000}"/>
    <cellStyle name="Check Cell 2 2 3 2 2" xfId="8082" xr:uid="{00000000-0005-0000-0000-0000921F0000}"/>
    <cellStyle name="Check Cell 2 2 3 3" xfId="8083" xr:uid="{00000000-0005-0000-0000-0000931F0000}"/>
    <cellStyle name="Check Cell 2 2 4" xfId="8084" xr:uid="{00000000-0005-0000-0000-0000941F0000}"/>
    <cellStyle name="Check Cell 2 3" xfId="8085" xr:uid="{00000000-0005-0000-0000-0000951F0000}"/>
    <cellStyle name="Check Cell 2 3 2" xfId="8086" xr:uid="{00000000-0005-0000-0000-0000961F0000}"/>
    <cellStyle name="Check Cell 2 3 2 2" xfId="8087" xr:uid="{00000000-0005-0000-0000-0000971F0000}"/>
    <cellStyle name="Check Cell 2 3 3" xfId="8088" xr:uid="{00000000-0005-0000-0000-0000981F0000}"/>
    <cellStyle name="Check Cell 2 3 3 2" xfId="8089" xr:uid="{00000000-0005-0000-0000-0000991F0000}"/>
    <cellStyle name="Check Cell 2 3 3 2 2" xfId="8090" xr:uid="{00000000-0005-0000-0000-00009A1F0000}"/>
    <cellStyle name="Check Cell 2 3 3 3" xfId="8091" xr:uid="{00000000-0005-0000-0000-00009B1F0000}"/>
    <cellStyle name="Check Cell 2 3 4" xfId="8092" xr:uid="{00000000-0005-0000-0000-00009C1F0000}"/>
    <cellStyle name="Check Cell 2 4" xfId="8093" xr:uid="{00000000-0005-0000-0000-00009D1F0000}"/>
    <cellStyle name="Check Cell 2 4 2" xfId="8094" xr:uid="{00000000-0005-0000-0000-00009E1F0000}"/>
    <cellStyle name="Check Cell 2 4 2 2" xfId="8095" xr:uid="{00000000-0005-0000-0000-00009F1F0000}"/>
    <cellStyle name="Check Cell 2 4 3" xfId="8096" xr:uid="{00000000-0005-0000-0000-0000A01F0000}"/>
    <cellStyle name="Check Cell 2 5" xfId="8097" xr:uid="{00000000-0005-0000-0000-0000A11F0000}"/>
    <cellStyle name="Check Cell 2 5 2" xfId="8098" xr:uid="{00000000-0005-0000-0000-0000A21F0000}"/>
    <cellStyle name="Check Cell 2 5 2 2" xfId="8099" xr:uid="{00000000-0005-0000-0000-0000A31F0000}"/>
    <cellStyle name="Check Cell 2 5 3" xfId="8100" xr:uid="{00000000-0005-0000-0000-0000A41F0000}"/>
    <cellStyle name="Check Cell 2 5 3 2" xfId="8101" xr:uid="{00000000-0005-0000-0000-0000A51F0000}"/>
    <cellStyle name="Check Cell 2 5 3 2 2" xfId="8102" xr:uid="{00000000-0005-0000-0000-0000A61F0000}"/>
    <cellStyle name="Check Cell 2 5 3 3" xfId="8103" xr:uid="{00000000-0005-0000-0000-0000A71F0000}"/>
    <cellStyle name="Check Cell 2 5 4" xfId="8104" xr:uid="{00000000-0005-0000-0000-0000A81F0000}"/>
    <cellStyle name="Check Cell 2 6" xfId="8105" xr:uid="{00000000-0005-0000-0000-0000A91F0000}"/>
    <cellStyle name="Check Cell 2 6 2" xfId="8106" xr:uid="{00000000-0005-0000-0000-0000AA1F0000}"/>
    <cellStyle name="Check Cell 2 6 2 2" xfId="8107" xr:uid="{00000000-0005-0000-0000-0000AB1F0000}"/>
    <cellStyle name="Check Cell 2 6 3" xfId="8108" xr:uid="{00000000-0005-0000-0000-0000AC1F0000}"/>
    <cellStyle name="Check Cell 2 6 3 2" xfId="8109" xr:uid="{00000000-0005-0000-0000-0000AD1F0000}"/>
    <cellStyle name="Check Cell 2 6 4" xfId="8110" xr:uid="{00000000-0005-0000-0000-0000AE1F0000}"/>
    <cellStyle name="Check Cell 2 7" xfId="8111" xr:uid="{00000000-0005-0000-0000-0000AF1F0000}"/>
    <cellStyle name="Check Cell 2 7 2" xfId="8112" xr:uid="{00000000-0005-0000-0000-0000B01F0000}"/>
    <cellStyle name="Check Cell 2 8" xfId="8113" xr:uid="{00000000-0005-0000-0000-0000B11F0000}"/>
    <cellStyle name="Check Cell 2 8 2" xfId="8114" xr:uid="{00000000-0005-0000-0000-0000B21F0000}"/>
    <cellStyle name="Check Cell 2 8 2 2" xfId="8115" xr:uid="{00000000-0005-0000-0000-0000B31F0000}"/>
    <cellStyle name="Check Cell 2 8 3" xfId="8116" xr:uid="{00000000-0005-0000-0000-0000B41F0000}"/>
    <cellStyle name="Check Cell 2 9" xfId="8117" xr:uid="{00000000-0005-0000-0000-0000B51F0000}"/>
    <cellStyle name="Check Cell 2 9 2" xfId="8118" xr:uid="{00000000-0005-0000-0000-0000B61F0000}"/>
    <cellStyle name="Check Cell 2 9 2 2" xfId="8119" xr:uid="{00000000-0005-0000-0000-0000B71F0000}"/>
    <cellStyle name="Check Cell 2 9 3" xfId="8120" xr:uid="{00000000-0005-0000-0000-0000B81F0000}"/>
    <cellStyle name="Check Cell 3" xfId="8121" xr:uid="{00000000-0005-0000-0000-0000B91F0000}"/>
    <cellStyle name="Check Cell 3 2" xfId="8122" xr:uid="{00000000-0005-0000-0000-0000BA1F0000}"/>
    <cellStyle name="Check Cell 3 2 2" xfId="8123" xr:uid="{00000000-0005-0000-0000-0000BB1F0000}"/>
    <cellStyle name="Check Cell 3 3" xfId="8124" xr:uid="{00000000-0005-0000-0000-0000BC1F0000}"/>
    <cellStyle name="Check Cell 3 3 2" xfId="8125" xr:uid="{00000000-0005-0000-0000-0000BD1F0000}"/>
    <cellStyle name="Check Cell 3 4" xfId="8126" xr:uid="{00000000-0005-0000-0000-0000BE1F0000}"/>
    <cellStyle name="Check Cell 3 4 2" xfId="8127" xr:uid="{00000000-0005-0000-0000-0000BF1F0000}"/>
    <cellStyle name="Check Cell 3 4 2 2" xfId="8128" xr:uid="{00000000-0005-0000-0000-0000C01F0000}"/>
    <cellStyle name="Check Cell 3 4 3" xfId="8129" xr:uid="{00000000-0005-0000-0000-0000C11F0000}"/>
    <cellStyle name="Check Cell 3 5" xfId="8130" xr:uid="{00000000-0005-0000-0000-0000C21F0000}"/>
    <cellStyle name="Check Cell 4" xfId="8131" xr:uid="{00000000-0005-0000-0000-0000C31F0000}"/>
    <cellStyle name="Check Cell 4 2" xfId="8132" xr:uid="{00000000-0005-0000-0000-0000C41F0000}"/>
    <cellStyle name="Check Cell 4 2 2" xfId="8133" xr:uid="{00000000-0005-0000-0000-0000C51F0000}"/>
    <cellStyle name="Check Cell 4 3" xfId="8134" xr:uid="{00000000-0005-0000-0000-0000C61F0000}"/>
    <cellStyle name="Check Cell 4 3 2" xfId="8135" xr:uid="{00000000-0005-0000-0000-0000C71F0000}"/>
    <cellStyle name="Check Cell 4 3 2 2" xfId="8136" xr:uid="{00000000-0005-0000-0000-0000C81F0000}"/>
    <cellStyle name="Check Cell 4 3 3" xfId="8137" xr:uid="{00000000-0005-0000-0000-0000C91F0000}"/>
    <cellStyle name="Check Cell 4 4" xfId="8138" xr:uid="{00000000-0005-0000-0000-0000CA1F0000}"/>
    <cellStyle name="Check Cell 5" xfId="8139" xr:uid="{00000000-0005-0000-0000-0000CB1F0000}"/>
    <cellStyle name="Check Cell 5 2" xfId="8140" xr:uid="{00000000-0005-0000-0000-0000CC1F0000}"/>
    <cellStyle name="Check Cell 5 2 2" xfId="8141" xr:uid="{00000000-0005-0000-0000-0000CD1F0000}"/>
    <cellStyle name="Check Cell 5 3" xfId="8142" xr:uid="{00000000-0005-0000-0000-0000CE1F0000}"/>
    <cellStyle name="Check Cell 5 3 2" xfId="8143" xr:uid="{00000000-0005-0000-0000-0000CF1F0000}"/>
    <cellStyle name="Check Cell 5 3 2 2" xfId="8144" xr:uid="{00000000-0005-0000-0000-0000D01F0000}"/>
    <cellStyle name="Check Cell 5 3 3" xfId="8145" xr:uid="{00000000-0005-0000-0000-0000D11F0000}"/>
    <cellStyle name="Check Cell 5 4" xfId="8146" xr:uid="{00000000-0005-0000-0000-0000D21F0000}"/>
    <cellStyle name="Check Cell 6" xfId="8147" xr:uid="{00000000-0005-0000-0000-0000D31F0000}"/>
    <cellStyle name="Check Cell 6 2" xfId="8148" xr:uid="{00000000-0005-0000-0000-0000D41F0000}"/>
    <cellStyle name="Check Cell 6 2 2" xfId="8149" xr:uid="{00000000-0005-0000-0000-0000D51F0000}"/>
    <cellStyle name="Check Cell 6 3" xfId="8150" xr:uid="{00000000-0005-0000-0000-0000D61F0000}"/>
    <cellStyle name="Check Cell 7" xfId="8151" xr:uid="{00000000-0005-0000-0000-0000D71F0000}"/>
    <cellStyle name="Check Cell 7 2" xfId="8152" xr:uid="{00000000-0005-0000-0000-0000D81F0000}"/>
    <cellStyle name="Check Cell 8" xfId="8153" xr:uid="{00000000-0005-0000-0000-0000D91F0000}"/>
    <cellStyle name="Check Cell 9" xfId="8154" xr:uid="{00000000-0005-0000-0000-0000DA1F0000}"/>
    <cellStyle name="Comma" xfId="4" xr:uid="{00000000-0005-0000-0000-000004000000}"/>
    <cellStyle name="Comma [0]" xfId="5" xr:uid="{00000000-0005-0000-0000-000005000000}"/>
    <cellStyle name="Comma [0] 2" xfId="8155" xr:uid="{00000000-0005-0000-0000-0000DB1F0000}"/>
    <cellStyle name="Comma [0] 3" xfId="8156" xr:uid="{00000000-0005-0000-0000-0000DC1F0000}"/>
    <cellStyle name="Comma [0] 4" xfId="8157" xr:uid="{00000000-0005-0000-0000-0000DD1F0000}"/>
    <cellStyle name="Comma 10" xfId="8158" xr:uid="{00000000-0005-0000-0000-0000DE1F0000}"/>
    <cellStyle name="Comma 11" xfId="8159" xr:uid="{00000000-0005-0000-0000-0000DF1F0000}"/>
    <cellStyle name="Comma 12" xfId="50" xr:uid="{00000000-0005-0000-0000-000032000000}"/>
    <cellStyle name="Comma 13" xfId="51" xr:uid="{00000000-0005-0000-0000-000033000000}"/>
    <cellStyle name="Comma 14" xfId="8160" xr:uid="{00000000-0005-0000-0000-0000E01F0000}"/>
    <cellStyle name="Comma 15" xfId="8161" xr:uid="{00000000-0005-0000-0000-0000E11F0000}"/>
    <cellStyle name="Comma 16" xfId="8162" xr:uid="{00000000-0005-0000-0000-0000E21F0000}"/>
    <cellStyle name="Comma 17" xfId="8163" xr:uid="{00000000-0005-0000-0000-0000E31F0000}"/>
    <cellStyle name="Comma 176" xfId="8164" xr:uid="{00000000-0005-0000-0000-0000E41F0000}"/>
    <cellStyle name="Comma 18" xfId="8165" xr:uid="{00000000-0005-0000-0000-0000E51F0000}"/>
    <cellStyle name="Comma 19" xfId="8166" xr:uid="{00000000-0005-0000-0000-0000E61F0000}"/>
    <cellStyle name="Comma 2" xfId="8" xr:uid="{00000000-0005-0000-0000-000008000000}"/>
    <cellStyle name="Comma 2 2" xfId="8167" xr:uid="{00000000-0005-0000-0000-0000E71F0000}"/>
    <cellStyle name="Comma 2 2 2" xfId="9" xr:uid="{00000000-0005-0000-0000-000009000000}"/>
    <cellStyle name="Comma 2 2 2 2" xfId="8168" xr:uid="{00000000-0005-0000-0000-0000E81F0000}"/>
    <cellStyle name="Comma 2 2 3" xfId="8169" xr:uid="{00000000-0005-0000-0000-0000E91F0000}"/>
    <cellStyle name="Comma 2 3" xfId="8170" xr:uid="{00000000-0005-0000-0000-0000EA1F0000}"/>
    <cellStyle name="Comma 2 3 2" xfId="8171" xr:uid="{00000000-0005-0000-0000-0000EB1F0000}"/>
    <cellStyle name="Comma 2 3 3" xfId="8172" xr:uid="{00000000-0005-0000-0000-0000EC1F0000}"/>
    <cellStyle name="Comma 2 4" xfId="8173" xr:uid="{00000000-0005-0000-0000-0000ED1F0000}"/>
    <cellStyle name="Comma 2 4 2" xfId="8174" xr:uid="{00000000-0005-0000-0000-0000EE1F0000}"/>
    <cellStyle name="Comma 2 4 3" xfId="8175" xr:uid="{00000000-0005-0000-0000-0000EF1F0000}"/>
    <cellStyle name="Comma 2 4 3 2" xfId="8176" xr:uid="{00000000-0005-0000-0000-0000F01F0000}"/>
    <cellStyle name="Comma 2 4 4" xfId="8177" xr:uid="{00000000-0005-0000-0000-0000F11F0000}"/>
    <cellStyle name="Comma 2 5" xfId="8178" xr:uid="{00000000-0005-0000-0000-0000F21F0000}"/>
    <cellStyle name="Comma 20" xfId="8179" xr:uid="{00000000-0005-0000-0000-0000F31F0000}"/>
    <cellStyle name="Comma 21" xfId="8180" xr:uid="{00000000-0005-0000-0000-0000F41F0000}"/>
    <cellStyle name="Comma 22" xfId="8181" xr:uid="{00000000-0005-0000-0000-0000F51F0000}"/>
    <cellStyle name="Comma 23" xfId="8182" xr:uid="{00000000-0005-0000-0000-0000F61F0000}"/>
    <cellStyle name="Comma 24" xfId="8183" xr:uid="{00000000-0005-0000-0000-0000F71F0000}"/>
    <cellStyle name="Comma 25" xfId="8184" xr:uid="{00000000-0005-0000-0000-0000F81F0000}"/>
    <cellStyle name="Comma 26" xfId="8185" xr:uid="{00000000-0005-0000-0000-0000F91F0000}"/>
    <cellStyle name="Comma 27" xfId="8186" xr:uid="{00000000-0005-0000-0000-0000FA1F0000}"/>
    <cellStyle name="Comma 28" xfId="8187" xr:uid="{00000000-0005-0000-0000-0000FB1F0000}"/>
    <cellStyle name="Comma 29" xfId="8188" xr:uid="{00000000-0005-0000-0000-0000FC1F0000}"/>
    <cellStyle name="Comma 3" xfId="8189" xr:uid="{00000000-0005-0000-0000-0000FD1F0000}"/>
    <cellStyle name="Comma 3 2" xfId="8190" xr:uid="{00000000-0005-0000-0000-0000FE1F0000}"/>
    <cellStyle name="Comma 3 2 2" xfId="8191" xr:uid="{00000000-0005-0000-0000-0000FF1F0000}"/>
    <cellStyle name="Comma 3 2 2 2" xfId="8192" xr:uid="{00000000-0005-0000-0000-000000200000}"/>
    <cellStyle name="Comma 3 2 2 3" xfId="8193" xr:uid="{00000000-0005-0000-0000-000001200000}"/>
    <cellStyle name="Comma 3 2 2 3 2" xfId="8194" xr:uid="{00000000-0005-0000-0000-000002200000}"/>
    <cellStyle name="Comma 3 2 2 4" xfId="8195" xr:uid="{00000000-0005-0000-0000-000003200000}"/>
    <cellStyle name="Comma 3 2 2 4 2" xfId="8196" xr:uid="{00000000-0005-0000-0000-000004200000}"/>
    <cellStyle name="Comma 3 2 3" xfId="8197" xr:uid="{00000000-0005-0000-0000-000005200000}"/>
    <cellStyle name="Comma 3 2 3 2" xfId="8198" xr:uid="{00000000-0005-0000-0000-000006200000}"/>
    <cellStyle name="Comma 3 2 4" xfId="8199" xr:uid="{00000000-0005-0000-0000-000007200000}"/>
    <cellStyle name="Comma 3 2 5" xfId="8200" xr:uid="{00000000-0005-0000-0000-000008200000}"/>
    <cellStyle name="Comma 3 3" xfId="8201" xr:uid="{00000000-0005-0000-0000-000009200000}"/>
    <cellStyle name="Comma 3 3 2" xfId="8202" xr:uid="{00000000-0005-0000-0000-00000A200000}"/>
    <cellStyle name="Comma 3 4" xfId="8203" xr:uid="{00000000-0005-0000-0000-00000B200000}"/>
    <cellStyle name="Comma 3 4 2" xfId="8204" xr:uid="{00000000-0005-0000-0000-00000C200000}"/>
    <cellStyle name="Comma 3 5" xfId="8205" xr:uid="{00000000-0005-0000-0000-00000D200000}"/>
    <cellStyle name="Comma 3 5 2" xfId="8206" xr:uid="{00000000-0005-0000-0000-00000E200000}"/>
    <cellStyle name="Comma 3 5 3" xfId="8207" xr:uid="{00000000-0005-0000-0000-00000F200000}"/>
    <cellStyle name="Comma 3 5 3 2" xfId="8208" xr:uid="{00000000-0005-0000-0000-000010200000}"/>
    <cellStyle name="Comma 3 5 4" xfId="8209" xr:uid="{00000000-0005-0000-0000-000011200000}"/>
    <cellStyle name="Comma 3 5 4 2" xfId="8210" xr:uid="{00000000-0005-0000-0000-000012200000}"/>
    <cellStyle name="Comma 3 6" xfId="8211" xr:uid="{00000000-0005-0000-0000-000013200000}"/>
    <cellStyle name="Comma 3 6 2" xfId="8212" xr:uid="{00000000-0005-0000-0000-000014200000}"/>
    <cellStyle name="Comma 3 7" xfId="8213" xr:uid="{00000000-0005-0000-0000-000015200000}"/>
    <cellStyle name="Comma 3 8" xfId="8214" xr:uid="{00000000-0005-0000-0000-000016200000}"/>
    <cellStyle name="Comma 30" xfId="8215" xr:uid="{00000000-0005-0000-0000-000017200000}"/>
    <cellStyle name="Comma 31" xfId="8216" xr:uid="{00000000-0005-0000-0000-000018200000}"/>
    <cellStyle name="Comma 35" xfId="52" xr:uid="{00000000-0005-0000-0000-000034000000}"/>
    <cellStyle name="Comma 37" xfId="53" xr:uid="{00000000-0005-0000-0000-000035000000}"/>
    <cellStyle name="Comma 38" xfId="54" xr:uid="{00000000-0005-0000-0000-000036000000}"/>
    <cellStyle name="Comma 39" xfId="55" xr:uid="{00000000-0005-0000-0000-000037000000}"/>
    <cellStyle name="Comma 4" xfId="8217" xr:uid="{00000000-0005-0000-0000-000019200000}"/>
    <cellStyle name="Comma 4 2" xfId="8218" xr:uid="{00000000-0005-0000-0000-00001A200000}"/>
    <cellStyle name="Comma 4 2 2" xfId="8219" xr:uid="{00000000-0005-0000-0000-00001B200000}"/>
    <cellStyle name="Comma 4 3" xfId="8220" xr:uid="{00000000-0005-0000-0000-00001C200000}"/>
    <cellStyle name="Comma 5" xfId="10" xr:uid="{00000000-0005-0000-0000-00000A000000}"/>
    <cellStyle name="Comma 5 2" xfId="8221" xr:uid="{00000000-0005-0000-0000-00001D200000}"/>
    <cellStyle name="Comma 5 2 2" xfId="8222" xr:uid="{00000000-0005-0000-0000-00001E200000}"/>
    <cellStyle name="Comma 5 3" xfId="8223" xr:uid="{00000000-0005-0000-0000-00001F200000}"/>
    <cellStyle name="Comma 6" xfId="8224" xr:uid="{00000000-0005-0000-0000-000020200000}"/>
    <cellStyle name="Comma 6 2" xfId="8225" xr:uid="{00000000-0005-0000-0000-000021200000}"/>
    <cellStyle name="Comma 6 3" xfId="8226" xr:uid="{00000000-0005-0000-0000-000022200000}"/>
    <cellStyle name="Comma 7" xfId="56" xr:uid="{00000000-0005-0000-0000-000038000000}"/>
    <cellStyle name="Comma 7 2" xfId="8227" xr:uid="{00000000-0005-0000-0000-000023200000}"/>
    <cellStyle name="Comma 7 3" xfId="8228" xr:uid="{00000000-0005-0000-0000-000024200000}"/>
    <cellStyle name="Comma 7 3 2" xfId="8229" xr:uid="{00000000-0005-0000-0000-000025200000}"/>
    <cellStyle name="Comma 7 4" xfId="8230" xr:uid="{00000000-0005-0000-0000-000026200000}"/>
    <cellStyle name="Comma 7 4 2" xfId="8231" xr:uid="{00000000-0005-0000-0000-000027200000}"/>
    <cellStyle name="Comma 8" xfId="57" xr:uid="{00000000-0005-0000-0000-000039000000}"/>
    <cellStyle name="Comma 8 2" xfId="8232" xr:uid="{00000000-0005-0000-0000-000028200000}"/>
    <cellStyle name="Comma 8 2 2" xfId="8233" xr:uid="{00000000-0005-0000-0000-000029200000}"/>
    <cellStyle name="Comma 8 3" xfId="8234" xr:uid="{00000000-0005-0000-0000-00002A200000}"/>
    <cellStyle name="Comma 8 4" xfId="8235" xr:uid="{00000000-0005-0000-0000-00002B200000}"/>
    <cellStyle name="Comma 8 4 2" xfId="8236" xr:uid="{00000000-0005-0000-0000-00002C200000}"/>
    <cellStyle name="Comma 8 5" xfId="8237" xr:uid="{00000000-0005-0000-0000-00002D200000}"/>
    <cellStyle name="Comma 8 6" xfId="8238" xr:uid="{00000000-0005-0000-0000-00002E200000}"/>
    <cellStyle name="Comma 9" xfId="8239" xr:uid="{00000000-0005-0000-0000-00002F200000}"/>
    <cellStyle name="Comma 9 2" xfId="8240" xr:uid="{00000000-0005-0000-0000-000030200000}"/>
    <cellStyle name="Comma 9 3" xfId="8241" xr:uid="{00000000-0005-0000-0000-000031200000}"/>
    <cellStyle name="Comma 9 3 2" xfId="8242" xr:uid="{00000000-0005-0000-0000-000032200000}"/>
    <cellStyle name="Comma 9 4" xfId="8243" xr:uid="{00000000-0005-0000-0000-000033200000}"/>
    <cellStyle name="Comma 9 4 2" xfId="8244" xr:uid="{00000000-0005-0000-0000-000034200000}"/>
    <cellStyle name="Copied" xfId="8245" xr:uid="{00000000-0005-0000-0000-000035200000}"/>
    <cellStyle name="Copied 2" xfId="8246" xr:uid="{00000000-0005-0000-0000-000036200000}"/>
    <cellStyle name="Copied 2 2" xfId="8247" xr:uid="{00000000-0005-0000-0000-000037200000}"/>
    <cellStyle name="Copied 2 2 2" xfId="8248" xr:uid="{00000000-0005-0000-0000-000038200000}"/>
    <cellStyle name="Copied 2 3" xfId="8249" xr:uid="{00000000-0005-0000-0000-000039200000}"/>
    <cellStyle name="Copied 2 3 2" xfId="8250" xr:uid="{00000000-0005-0000-0000-00003A200000}"/>
    <cellStyle name="Copied 2 3 2 2" xfId="8251" xr:uid="{00000000-0005-0000-0000-00003B200000}"/>
    <cellStyle name="Copied 2 3 3" xfId="8252" xr:uid="{00000000-0005-0000-0000-00003C200000}"/>
    <cellStyle name="Copied 2 4" xfId="8253" xr:uid="{00000000-0005-0000-0000-00003D200000}"/>
    <cellStyle name="Copied 3" xfId="8254" xr:uid="{00000000-0005-0000-0000-00003E200000}"/>
    <cellStyle name="Copied 3 2" xfId="8255" xr:uid="{00000000-0005-0000-0000-00003F200000}"/>
    <cellStyle name="Copied 3 2 2" xfId="8256" xr:uid="{00000000-0005-0000-0000-000040200000}"/>
    <cellStyle name="Copied 3 3" xfId="8257" xr:uid="{00000000-0005-0000-0000-000041200000}"/>
    <cellStyle name="Copied 4" xfId="8258" xr:uid="{00000000-0005-0000-0000-000042200000}"/>
    <cellStyle name="Copied 4 2" xfId="8259" xr:uid="{00000000-0005-0000-0000-000043200000}"/>
    <cellStyle name="Copied 4 2 2" xfId="8260" xr:uid="{00000000-0005-0000-0000-000044200000}"/>
    <cellStyle name="Copied 4 3" xfId="8261" xr:uid="{00000000-0005-0000-0000-000045200000}"/>
    <cellStyle name="Copied 5" xfId="8262" xr:uid="{00000000-0005-0000-0000-000046200000}"/>
    <cellStyle name="Copied 5 2" xfId="8263" xr:uid="{00000000-0005-0000-0000-000047200000}"/>
    <cellStyle name="Copied 6" xfId="8264" xr:uid="{00000000-0005-0000-0000-000048200000}"/>
    <cellStyle name="Copied 6 2" xfId="8265" xr:uid="{00000000-0005-0000-0000-000049200000}"/>
    <cellStyle name="Copied 7" xfId="8266" xr:uid="{00000000-0005-0000-0000-00004A200000}"/>
    <cellStyle name="CostNoZero" xfId="8267" xr:uid="{00000000-0005-0000-0000-00004B200000}"/>
    <cellStyle name="Currency" xfId="2" xr:uid="{00000000-0005-0000-0000-000002000000}"/>
    <cellStyle name="Currency [0]" xfId="3" xr:uid="{00000000-0005-0000-0000-000003000000}"/>
    <cellStyle name="Currency 10" xfId="8268" xr:uid="{00000000-0005-0000-0000-00004C200000}"/>
    <cellStyle name="Currency 11" xfId="8269" xr:uid="{00000000-0005-0000-0000-00004D200000}"/>
    <cellStyle name="Currency 12 2" xfId="31680" xr:uid="{00000000-0005-0000-0000-0000C07B0000}"/>
    <cellStyle name="Currency 2" xfId="58" xr:uid="{00000000-0005-0000-0000-00003A000000}"/>
    <cellStyle name="Currency 2 2" xfId="8270" xr:uid="{00000000-0005-0000-0000-00004E200000}"/>
    <cellStyle name="Currency 2 2 2" xfId="8271" xr:uid="{00000000-0005-0000-0000-00004F200000}"/>
    <cellStyle name="Currency 2 2 2 2" xfId="8272" xr:uid="{00000000-0005-0000-0000-000050200000}"/>
    <cellStyle name="Currency 2 2 2 3" xfId="8273" xr:uid="{00000000-0005-0000-0000-000051200000}"/>
    <cellStyle name="Currency 2 2 2 3 2" xfId="8274" xr:uid="{00000000-0005-0000-0000-000052200000}"/>
    <cellStyle name="Currency 2 2 2 4" xfId="8275" xr:uid="{00000000-0005-0000-0000-000053200000}"/>
    <cellStyle name="Currency 2 2 2 4 2" xfId="8276" xr:uid="{00000000-0005-0000-0000-000054200000}"/>
    <cellStyle name="Currency 2 2 3" xfId="8277" xr:uid="{00000000-0005-0000-0000-000055200000}"/>
    <cellStyle name="Currency 2 2 3 2" xfId="8278" xr:uid="{00000000-0005-0000-0000-000056200000}"/>
    <cellStyle name="Currency 2 2 4" xfId="8279" xr:uid="{00000000-0005-0000-0000-000057200000}"/>
    <cellStyle name="Currency 2 3" xfId="8280" xr:uid="{00000000-0005-0000-0000-000058200000}"/>
    <cellStyle name="Currency 2 3 2" xfId="8281" xr:uid="{00000000-0005-0000-0000-000059200000}"/>
    <cellStyle name="Currency 2 3 3" xfId="8282" xr:uid="{00000000-0005-0000-0000-00005A200000}"/>
    <cellStyle name="Currency 2 3 3 2" xfId="8283" xr:uid="{00000000-0005-0000-0000-00005B200000}"/>
    <cellStyle name="Currency 2 3 4" xfId="8284" xr:uid="{00000000-0005-0000-0000-00005C200000}"/>
    <cellStyle name="Currency 2 3 4 2" xfId="8285" xr:uid="{00000000-0005-0000-0000-00005D200000}"/>
    <cellStyle name="Currency 2 4" xfId="8286" xr:uid="{00000000-0005-0000-0000-00005E200000}"/>
    <cellStyle name="Currency 2 4 2" xfId="8287" xr:uid="{00000000-0005-0000-0000-00005F200000}"/>
    <cellStyle name="Currency 2 5" xfId="8288" xr:uid="{00000000-0005-0000-0000-000060200000}"/>
    <cellStyle name="Currency 2 6" xfId="8289" xr:uid="{00000000-0005-0000-0000-000061200000}"/>
    <cellStyle name="Currency 2 7" xfId="8290" xr:uid="{00000000-0005-0000-0000-000062200000}"/>
    <cellStyle name="Currency 3" xfId="8291" xr:uid="{00000000-0005-0000-0000-000063200000}"/>
    <cellStyle name="Currency 3 2" xfId="8292" xr:uid="{00000000-0005-0000-0000-000064200000}"/>
    <cellStyle name="Currency 3 2 2" xfId="8293" xr:uid="{00000000-0005-0000-0000-000065200000}"/>
    <cellStyle name="Currency 3 3" xfId="8294" xr:uid="{00000000-0005-0000-0000-000066200000}"/>
    <cellStyle name="Currency 3 3 2" xfId="8295" xr:uid="{00000000-0005-0000-0000-000067200000}"/>
    <cellStyle name="Currency 3 3 3" xfId="8296" xr:uid="{00000000-0005-0000-0000-000068200000}"/>
    <cellStyle name="Currency 3 3 3 2" xfId="8297" xr:uid="{00000000-0005-0000-0000-000069200000}"/>
    <cellStyle name="Currency 3 3 4" xfId="8298" xr:uid="{00000000-0005-0000-0000-00006A200000}"/>
    <cellStyle name="Currency 3 3 4 2" xfId="8299" xr:uid="{00000000-0005-0000-0000-00006B200000}"/>
    <cellStyle name="Currency 3 4" xfId="8300" xr:uid="{00000000-0005-0000-0000-00006C200000}"/>
    <cellStyle name="Currency 3 5" xfId="8301" xr:uid="{00000000-0005-0000-0000-00006D200000}"/>
    <cellStyle name="Currency 4" xfId="8302" xr:uid="{00000000-0005-0000-0000-00006E200000}"/>
    <cellStyle name="Currency 4 2" xfId="8303" xr:uid="{00000000-0005-0000-0000-00006F200000}"/>
    <cellStyle name="Currency 4 2 2" xfId="8304" xr:uid="{00000000-0005-0000-0000-000070200000}"/>
    <cellStyle name="Currency 4 3" xfId="8305" xr:uid="{00000000-0005-0000-0000-000071200000}"/>
    <cellStyle name="Currency 4 3 2" xfId="8306" xr:uid="{00000000-0005-0000-0000-000072200000}"/>
    <cellStyle name="Currency 4 4" xfId="8307" xr:uid="{00000000-0005-0000-0000-000073200000}"/>
    <cellStyle name="Currency 5" xfId="8308" xr:uid="{00000000-0005-0000-0000-000074200000}"/>
    <cellStyle name="Currency 5 2" xfId="8309" xr:uid="{00000000-0005-0000-0000-000075200000}"/>
    <cellStyle name="Currency 6" xfId="8310" xr:uid="{00000000-0005-0000-0000-000076200000}"/>
    <cellStyle name="Currency 6 2" xfId="8311" xr:uid="{00000000-0005-0000-0000-000077200000}"/>
    <cellStyle name="Currency 6 2 2" xfId="8312" xr:uid="{00000000-0005-0000-0000-000078200000}"/>
    <cellStyle name="Currency 6 3" xfId="8313" xr:uid="{00000000-0005-0000-0000-000079200000}"/>
    <cellStyle name="Currency 6 3 2" xfId="8314" xr:uid="{00000000-0005-0000-0000-00007A200000}"/>
    <cellStyle name="Currency 6 4" xfId="8315" xr:uid="{00000000-0005-0000-0000-00007B200000}"/>
    <cellStyle name="Currency 7" xfId="8316" xr:uid="{00000000-0005-0000-0000-00007C200000}"/>
    <cellStyle name="Currency 7 2" xfId="8317" xr:uid="{00000000-0005-0000-0000-00007D200000}"/>
    <cellStyle name="Currency 8" xfId="8318" xr:uid="{00000000-0005-0000-0000-00007E200000}"/>
    <cellStyle name="Currency 9" xfId="8319" xr:uid="{00000000-0005-0000-0000-00007F200000}"/>
    <cellStyle name="Currency.00" xfId="8320" xr:uid="{00000000-0005-0000-0000-000080200000}"/>
    <cellStyle name="Date" xfId="8321" xr:uid="{00000000-0005-0000-0000-000081200000}"/>
    <cellStyle name="Date (m/d/yy)" xfId="8322" xr:uid="{00000000-0005-0000-0000-000082200000}"/>
    <cellStyle name="Date (m/d/yy) 2" xfId="8323" xr:uid="{00000000-0005-0000-0000-000083200000}"/>
    <cellStyle name="Date_~6497230" xfId="8324" xr:uid="{00000000-0005-0000-0000-000084200000}"/>
    <cellStyle name="Decimal" xfId="8325" xr:uid="{00000000-0005-0000-0000-000085200000}"/>
    <cellStyle name="Emphasis 1" xfId="8326" xr:uid="{00000000-0005-0000-0000-000086200000}"/>
    <cellStyle name="Emphasis 1 10" xfId="8327" xr:uid="{00000000-0005-0000-0000-000087200000}"/>
    <cellStyle name="Emphasis 1 2" xfId="8328" xr:uid="{00000000-0005-0000-0000-000088200000}"/>
    <cellStyle name="Emphasis 1 2 2" xfId="8329" xr:uid="{00000000-0005-0000-0000-000089200000}"/>
    <cellStyle name="Emphasis 1 2 2 2" xfId="8330" xr:uid="{00000000-0005-0000-0000-00008A200000}"/>
    <cellStyle name="Emphasis 1 2 3" xfId="8331" xr:uid="{00000000-0005-0000-0000-00008B200000}"/>
    <cellStyle name="Emphasis 1 2 3 2" xfId="8332" xr:uid="{00000000-0005-0000-0000-00008C200000}"/>
    <cellStyle name="Emphasis 1 2 3 2 2" xfId="8333" xr:uid="{00000000-0005-0000-0000-00008D200000}"/>
    <cellStyle name="Emphasis 1 2 3 3" xfId="8334" xr:uid="{00000000-0005-0000-0000-00008E200000}"/>
    <cellStyle name="Emphasis 1 2 4" xfId="8335" xr:uid="{00000000-0005-0000-0000-00008F200000}"/>
    <cellStyle name="Emphasis 1 2 4 2" xfId="8336" xr:uid="{00000000-0005-0000-0000-000090200000}"/>
    <cellStyle name="Emphasis 1 2 4 2 2" xfId="8337" xr:uid="{00000000-0005-0000-0000-000091200000}"/>
    <cellStyle name="Emphasis 1 2 4 3" xfId="8338" xr:uid="{00000000-0005-0000-0000-000092200000}"/>
    <cellStyle name="Emphasis 1 2 5" xfId="8339" xr:uid="{00000000-0005-0000-0000-000093200000}"/>
    <cellStyle name="Emphasis 1 3" xfId="8340" xr:uid="{00000000-0005-0000-0000-000094200000}"/>
    <cellStyle name="Emphasis 1 3 2" xfId="8341" xr:uid="{00000000-0005-0000-0000-000095200000}"/>
    <cellStyle name="Emphasis 1 3 2 2" xfId="8342" xr:uid="{00000000-0005-0000-0000-000096200000}"/>
    <cellStyle name="Emphasis 1 3 3" xfId="8343" xr:uid="{00000000-0005-0000-0000-000097200000}"/>
    <cellStyle name="Emphasis 1 4" xfId="8344" xr:uid="{00000000-0005-0000-0000-000098200000}"/>
    <cellStyle name="Emphasis 1 4 2" xfId="8345" xr:uid="{00000000-0005-0000-0000-000099200000}"/>
    <cellStyle name="Emphasis 1 5" xfId="8346" xr:uid="{00000000-0005-0000-0000-00009A200000}"/>
    <cellStyle name="Emphasis 1 5 2" xfId="8347" xr:uid="{00000000-0005-0000-0000-00009B200000}"/>
    <cellStyle name="Emphasis 1 6" xfId="8348" xr:uid="{00000000-0005-0000-0000-00009C200000}"/>
    <cellStyle name="Emphasis 1 6 2" xfId="8349" xr:uid="{00000000-0005-0000-0000-00009D200000}"/>
    <cellStyle name="Emphasis 1 6 2 2" xfId="8350" xr:uid="{00000000-0005-0000-0000-00009E200000}"/>
    <cellStyle name="Emphasis 1 6 3" xfId="8351" xr:uid="{00000000-0005-0000-0000-00009F200000}"/>
    <cellStyle name="Emphasis 1 7" xfId="8352" xr:uid="{00000000-0005-0000-0000-0000A0200000}"/>
    <cellStyle name="Emphasis 1 7 2" xfId="8353" xr:uid="{00000000-0005-0000-0000-0000A1200000}"/>
    <cellStyle name="Emphasis 1 8" xfId="8354" xr:uid="{00000000-0005-0000-0000-0000A2200000}"/>
    <cellStyle name="Emphasis 1 8 2" xfId="8355" xr:uid="{00000000-0005-0000-0000-0000A3200000}"/>
    <cellStyle name="Emphasis 1 9" xfId="8356" xr:uid="{00000000-0005-0000-0000-0000A4200000}"/>
    <cellStyle name="Emphasis 2" xfId="8357" xr:uid="{00000000-0005-0000-0000-0000A5200000}"/>
    <cellStyle name="Emphasis 2 10" xfId="8358" xr:uid="{00000000-0005-0000-0000-0000A6200000}"/>
    <cellStyle name="Emphasis 2 2" xfId="8359" xr:uid="{00000000-0005-0000-0000-0000A7200000}"/>
    <cellStyle name="Emphasis 2 2 2" xfId="8360" xr:uid="{00000000-0005-0000-0000-0000A8200000}"/>
    <cellStyle name="Emphasis 2 2 2 2" xfId="8361" xr:uid="{00000000-0005-0000-0000-0000A9200000}"/>
    <cellStyle name="Emphasis 2 2 3" xfId="8362" xr:uid="{00000000-0005-0000-0000-0000AA200000}"/>
    <cellStyle name="Emphasis 2 2 3 2" xfId="8363" xr:uid="{00000000-0005-0000-0000-0000AB200000}"/>
    <cellStyle name="Emphasis 2 2 3 2 2" xfId="8364" xr:uid="{00000000-0005-0000-0000-0000AC200000}"/>
    <cellStyle name="Emphasis 2 2 3 3" xfId="8365" xr:uid="{00000000-0005-0000-0000-0000AD200000}"/>
    <cellStyle name="Emphasis 2 2 4" xfId="8366" xr:uid="{00000000-0005-0000-0000-0000AE200000}"/>
    <cellStyle name="Emphasis 2 2 4 2" xfId="8367" xr:uid="{00000000-0005-0000-0000-0000AF200000}"/>
    <cellStyle name="Emphasis 2 2 4 2 2" xfId="8368" xr:uid="{00000000-0005-0000-0000-0000B0200000}"/>
    <cellStyle name="Emphasis 2 2 4 3" xfId="8369" xr:uid="{00000000-0005-0000-0000-0000B1200000}"/>
    <cellStyle name="Emphasis 2 2 5" xfId="8370" xr:uid="{00000000-0005-0000-0000-0000B2200000}"/>
    <cellStyle name="Emphasis 2 3" xfId="8371" xr:uid="{00000000-0005-0000-0000-0000B3200000}"/>
    <cellStyle name="Emphasis 2 3 2" xfId="8372" xr:uid="{00000000-0005-0000-0000-0000B4200000}"/>
    <cellStyle name="Emphasis 2 3 2 2" xfId="8373" xr:uid="{00000000-0005-0000-0000-0000B5200000}"/>
    <cellStyle name="Emphasis 2 3 3" xfId="8374" xr:uid="{00000000-0005-0000-0000-0000B6200000}"/>
    <cellStyle name="Emphasis 2 4" xfId="8375" xr:uid="{00000000-0005-0000-0000-0000B7200000}"/>
    <cellStyle name="Emphasis 2 4 2" xfId="8376" xr:uid="{00000000-0005-0000-0000-0000B8200000}"/>
    <cellStyle name="Emphasis 2 5" xfId="8377" xr:uid="{00000000-0005-0000-0000-0000B9200000}"/>
    <cellStyle name="Emphasis 2 5 2" xfId="8378" xr:uid="{00000000-0005-0000-0000-0000BA200000}"/>
    <cellStyle name="Emphasis 2 6" xfId="8379" xr:uid="{00000000-0005-0000-0000-0000BB200000}"/>
    <cellStyle name="Emphasis 2 6 2" xfId="8380" xr:uid="{00000000-0005-0000-0000-0000BC200000}"/>
    <cellStyle name="Emphasis 2 6 2 2" xfId="8381" xr:uid="{00000000-0005-0000-0000-0000BD200000}"/>
    <cellStyle name="Emphasis 2 6 3" xfId="8382" xr:uid="{00000000-0005-0000-0000-0000BE200000}"/>
    <cellStyle name="Emphasis 2 7" xfId="8383" xr:uid="{00000000-0005-0000-0000-0000BF200000}"/>
    <cellStyle name="Emphasis 2 7 2" xfId="8384" xr:uid="{00000000-0005-0000-0000-0000C0200000}"/>
    <cellStyle name="Emphasis 2 8" xfId="8385" xr:uid="{00000000-0005-0000-0000-0000C1200000}"/>
    <cellStyle name="Emphasis 2 8 2" xfId="8386" xr:uid="{00000000-0005-0000-0000-0000C2200000}"/>
    <cellStyle name="Emphasis 2 9" xfId="8387" xr:uid="{00000000-0005-0000-0000-0000C3200000}"/>
    <cellStyle name="Emphasis 3" xfId="8388" xr:uid="{00000000-0005-0000-0000-0000C4200000}"/>
    <cellStyle name="Emphasis 3 2" xfId="8389" xr:uid="{00000000-0005-0000-0000-0000C5200000}"/>
    <cellStyle name="Emphasis 3 2 2" xfId="8390" xr:uid="{00000000-0005-0000-0000-0000C6200000}"/>
    <cellStyle name="Emphasis 3 2 2 2" xfId="8391" xr:uid="{00000000-0005-0000-0000-0000C7200000}"/>
    <cellStyle name="Emphasis 3 2 3" xfId="8392" xr:uid="{00000000-0005-0000-0000-0000C8200000}"/>
    <cellStyle name="Emphasis 3 2 3 2" xfId="8393" xr:uid="{00000000-0005-0000-0000-0000C9200000}"/>
    <cellStyle name="Emphasis 3 2 3 2 2" xfId="8394" xr:uid="{00000000-0005-0000-0000-0000CA200000}"/>
    <cellStyle name="Emphasis 3 2 3 3" xfId="8395" xr:uid="{00000000-0005-0000-0000-0000CB200000}"/>
    <cellStyle name="Emphasis 3 2 4" xfId="8396" xr:uid="{00000000-0005-0000-0000-0000CC200000}"/>
    <cellStyle name="Emphasis 3 3" xfId="8397" xr:uid="{00000000-0005-0000-0000-0000CD200000}"/>
    <cellStyle name="Emphasis 3 3 2" xfId="8398" xr:uid="{00000000-0005-0000-0000-0000CE200000}"/>
    <cellStyle name="Emphasis 3 3 2 2" xfId="8399" xr:uid="{00000000-0005-0000-0000-0000CF200000}"/>
    <cellStyle name="Emphasis 3 3 3" xfId="8400" xr:uid="{00000000-0005-0000-0000-0000D0200000}"/>
    <cellStyle name="Emphasis 3 4" xfId="8401" xr:uid="{00000000-0005-0000-0000-0000D1200000}"/>
    <cellStyle name="Emphasis 3 4 2" xfId="8402" xr:uid="{00000000-0005-0000-0000-0000D2200000}"/>
    <cellStyle name="Emphasis 3 5" xfId="8403" xr:uid="{00000000-0005-0000-0000-0000D3200000}"/>
    <cellStyle name="Emphasis 3 5 2" xfId="8404" xr:uid="{00000000-0005-0000-0000-0000D4200000}"/>
    <cellStyle name="Emphasis 3 6" xfId="8405" xr:uid="{00000000-0005-0000-0000-0000D5200000}"/>
    <cellStyle name="Emphasis 3 7" xfId="8406" xr:uid="{00000000-0005-0000-0000-0000D6200000}"/>
    <cellStyle name="Entered" xfId="8407" xr:uid="{00000000-0005-0000-0000-0000D7200000}"/>
    <cellStyle name="Entered 2" xfId="8408" xr:uid="{00000000-0005-0000-0000-0000D8200000}"/>
    <cellStyle name="Entered 2 2" xfId="8409" xr:uid="{00000000-0005-0000-0000-0000D9200000}"/>
    <cellStyle name="Entered 2 2 2" xfId="8410" xr:uid="{00000000-0005-0000-0000-0000DA200000}"/>
    <cellStyle name="Entered 2 3" xfId="8411" xr:uid="{00000000-0005-0000-0000-0000DB200000}"/>
    <cellStyle name="Entered 2 3 2" xfId="8412" xr:uid="{00000000-0005-0000-0000-0000DC200000}"/>
    <cellStyle name="Entered 2 3 2 2" xfId="8413" xr:uid="{00000000-0005-0000-0000-0000DD200000}"/>
    <cellStyle name="Entered 2 3 3" xfId="8414" xr:uid="{00000000-0005-0000-0000-0000DE200000}"/>
    <cellStyle name="Entered 2 4" xfId="8415" xr:uid="{00000000-0005-0000-0000-0000DF200000}"/>
    <cellStyle name="Entered 3" xfId="8416" xr:uid="{00000000-0005-0000-0000-0000E0200000}"/>
    <cellStyle name="Entered 3 2" xfId="8417" xr:uid="{00000000-0005-0000-0000-0000E1200000}"/>
    <cellStyle name="Entered 3 2 2" xfId="8418" xr:uid="{00000000-0005-0000-0000-0000E2200000}"/>
    <cellStyle name="Entered 3 3" xfId="8419" xr:uid="{00000000-0005-0000-0000-0000E3200000}"/>
    <cellStyle name="Entered 4" xfId="8420" xr:uid="{00000000-0005-0000-0000-0000E4200000}"/>
    <cellStyle name="Entered 4 2" xfId="8421" xr:uid="{00000000-0005-0000-0000-0000E5200000}"/>
    <cellStyle name="Entered 4 2 2" xfId="8422" xr:uid="{00000000-0005-0000-0000-0000E6200000}"/>
    <cellStyle name="Entered 4 3" xfId="8423" xr:uid="{00000000-0005-0000-0000-0000E7200000}"/>
    <cellStyle name="Entered 5" xfId="8424" xr:uid="{00000000-0005-0000-0000-0000E8200000}"/>
    <cellStyle name="Entered 5 2" xfId="8425" xr:uid="{00000000-0005-0000-0000-0000E9200000}"/>
    <cellStyle name="Entered 6" xfId="8426" xr:uid="{00000000-0005-0000-0000-0000EA200000}"/>
    <cellStyle name="Entered 6 2" xfId="8427" xr:uid="{00000000-0005-0000-0000-0000EB200000}"/>
    <cellStyle name="Entered 7" xfId="8428" xr:uid="{00000000-0005-0000-0000-0000EC200000}"/>
    <cellStyle name="Euro" xfId="8429" xr:uid="{00000000-0005-0000-0000-0000ED200000}"/>
    <cellStyle name="Euro 2" xfId="8430" xr:uid="{00000000-0005-0000-0000-0000EE200000}"/>
    <cellStyle name="Euro 2 2" xfId="8431" xr:uid="{00000000-0005-0000-0000-0000EF200000}"/>
    <cellStyle name="Euro 2 2 2" xfId="8432" xr:uid="{00000000-0005-0000-0000-0000F0200000}"/>
    <cellStyle name="Euro 2 2 2 2" xfId="8433" xr:uid="{00000000-0005-0000-0000-0000F1200000}"/>
    <cellStyle name="Euro 2 2 3" xfId="8434" xr:uid="{00000000-0005-0000-0000-0000F2200000}"/>
    <cellStyle name="Euro 2 3" xfId="8435" xr:uid="{00000000-0005-0000-0000-0000F3200000}"/>
    <cellStyle name="Euro 2 3 2" xfId="8436" xr:uid="{00000000-0005-0000-0000-0000F4200000}"/>
    <cellStyle name="Euro 2 3 2 2" xfId="8437" xr:uid="{00000000-0005-0000-0000-0000F5200000}"/>
    <cellStyle name="Euro 2 3 3" xfId="8438" xr:uid="{00000000-0005-0000-0000-0000F6200000}"/>
    <cellStyle name="Euro 2 4" xfId="8439" xr:uid="{00000000-0005-0000-0000-0000F7200000}"/>
    <cellStyle name="Euro 3" xfId="8440" xr:uid="{00000000-0005-0000-0000-0000F8200000}"/>
    <cellStyle name="Euro 3 2" xfId="8441" xr:uid="{00000000-0005-0000-0000-0000F9200000}"/>
    <cellStyle name="Euro 3 2 2" xfId="8442" xr:uid="{00000000-0005-0000-0000-0000FA200000}"/>
    <cellStyle name="Euro 3 3" xfId="8443" xr:uid="{00000000-0005-0000-0000-0000FB200000}"/>
    <cellStyle name="Euro 4" xfId="8444" xr:uid="{00000000-0005-0000-0000-0000FC200000}"/>
    <cellStyle name="Euro 4 2" xfId="8445" xr:uid="{00000000-0005-0000-0000-0000FD200000}"/>
    <cellStyle name="Euro 4 2 2" xfId="8446" xr:uid="{00000000-0005-0000-0000-0000FE200000}"/>
    <cellStyle name="Euro 4 3" xfId="8447" xr:uid="{00000000-0005-0000-0000-0000FF200000}"/>
    <cellStyle name="Euro 5" xfId="8448" xr:uid="{00000000-0005-0000-0000-000000210000}"/>
    <cellStyle name="Euro 5 2" xfId="8449" xr:uid="{00000000-0005-0000-0000-000001210000}"/>
    <cellStyle name="Euro 6" xfId="8450" xr:uid="{00000000-0005-0000-0000-000002210000}"/>
    <cellStyle name="Explanatory Text 2" xfId="8451" xr:uid="{00000000-0005-0000-0000-000003210000}"/>
    <cellStyle name="Explanatory Text 2 10" xfId="8452" xr:uid="{00000000-0005-0000-0000-000004210000}"/>
    <cellStyle name="Explanatory Text 2 2" xfId="8453" xr:uid="{00000000-0005-0000-0000-000005210000}"/>
    <cellStyle name="Explanatory Text 2 2 2" xfId="8454" xr:uid="{00000000-0005-0000-0000-000006210000}"/>
    <cellStyle name="Explanatory Text 2 2 2 2" xfId="8455" xr:uid="{00000000-0005-0000-0000-000007210000}"/>
    <cellStyle name="Explanatory Text 2 2 3" xfId="8456" xr:uid="{00000000-0005-0000-0000-000008210000}"/>
    <cellStyle name="Explanatory Text 2 2 3 2" xfId="8457" xr:uid="{00000000-0005-0000-0000-000009210000}"/>
    <cellStyle name="Explanatory Text 2 2 3 2 2" xfId="8458" xr:uid="{00000000-0005-0000-0000-00000A210000}"/>
    <cellStyle name="Explanatory Text 2 2 3 3" xfId="8459" xr:uid="{00000000-0005-0000-0000-00000B210000}"/>
    <cellStyle name="Explanatory Text 2 2 4" xfId="8460" xr:uid="{00000000-0005-0000-0000-00000C210000}"/>
    <cellStyle name="Explanatory Text 2 3" xfId="8461" xr:uid="{00000000-0005-0000-0000-00000D210000}"/>
    <cellStyle name="Explanatory Text 2 3 2" xfId="8462" xr:uid="{00000000-0005-0000-0000-00000E210000}"/>
    <cellStyle name="Explanatory Text 2 3 2 2" xfId="8463" xr:uid="{00000000-0005-0000-0000-00000F210000}"/>
    <cellStyle name="Explanatory Text 2 3 3" xfId="8464" xr:uid="{00000000-0005-0000-0000-000010210000}"/>
    <cellStyle name="Explanatory Text 2 3 3 2" xfId="8465" xr:uid="{00000000-0005-0000-0000-000011210000}"/>
    <cellStyle name="Explanatory Text 2 3 3 2 2" xfId="8466" xr:uid="{00000000-0005-0000-0000-000012210000}"/>
    <cellStyle name="Explanatory Text 2 3 3 3" xfId="8467" xr:uid="{00000000-0005-0000-0000-000013210000}"/>
    <cellStyle name="Explanatory Text 2 3 4" xfId="8468" xr:uid="{00000000-0005-0000-0000-000014210000}"/>
    <cellStyle name="Explanatory Text 2 4" xfId="8469" xr:uid="{00000000-0005-0000-0000-000015210000}"/>
    <cellStyle name="Explanatory Text 2 4 2" xfId="8470" xr:uid="{00000000-0005-0000-0000-000016210000}"/>
    <cellStyle name="Explanatory Text 2 4 2 2" xfId="8471" xr:uid="{00000000-0005-0000-0000-000017210000}"/>
    <cellStyle name="Explanatory Text 2 4 3" xfId="8472" xr:uid="{00000000-0005-0000-0000-000018210000}"/>
    <cellStyle name="Explanatory Text 2 5" xfId="8473" xr:uid="{00000000-0005-0000-0000-000019210000}"/>
    <cellStyle name="Explanatory Text 2 5 2" xfId="8474" xr:uid="{00000000-0005-0000-0000-00001A210000}"/>
    <cellStyle name="Explanatory Text 2 5 2 2" xfId="8475" xr:uid="{00000000-0005-0000-0000-00001B210000}"/>
    <cellStyle name="Explanatory Text 2 5 3" xfId="8476" xr:uid="{00000000-0005-0000-0000-00001C210000}"/>
    <cellStyle name="Explanatory Text 2 5 3 2" xfId="8477" xr:uid="{00000000-0005-0000-0000-00001D210000}"/>
    <cellStyle name="Explanatory Text 2 5 3 2 2" xfId="8478" xr:uid="{00000000-0005-0000-0000-00001E210000}"/>
    <cellStyle name="Explanatory Text 2 5 3 3" xfId="8479" xr:uid="{00000000-0005-0000-0000-00001F210000}"/>
    <cellStyle name="Explanatory Text 2 5 4" xfId="8480" xr:uid="{00000000-0005-0000-0000-000020210000}"/>
    <cellStyle name="Explanatory Text 2 6" xfId="8481" xr:uid="{00000000-0005-0000-0000-000021210000}"/>
    <cellStyle name="Explanatory Text 2 6 2" xfId="8482" xr:uid="{00000000-0005-0000-0000-000022210000}"/>
    <cellStyle name="Explanatory Text 2 7" xfId="8483" xr:uid="{00000000-0005-0000-0000-000023210000}"/>
    <cellStyle name="Explanatory Text 2 7 2" xfId="8484" xr:uid="{00000000-0005-0000-0000-000024210000}"/>
    <cellStyle name="Explanatory Text 2 8" xfId="8485" xr:uid="{00000000-0005-0000-0000-000025210000}"/>
    <cellStyle name="Explanatory Text 2 8 2" xfId="8486" xr:uid="{00000000-0005-0000-0000-000026210000}"/>
    <cellStyle name="Explanatory Text 2 8 2 2" xfId="8487" xr:uid="{00000000-0005-0000-0000-000027210000}"/>
    <cellStyle name="Explanatory Text 2 8 3" xfId="8488" xr:uid="{00000000-0005-0000-0000-000028210000}"/>
    <cellStyle name="Explanatory Text 2 9" xfId="8489" xr:uid="{00000000-0005-0000-0000-000029210000}"/>
    <cellStyle name="Explanatory Text 2 9 2" xfId="8490" xr:uid="{00000000-0005-0000-0000-00002A210000}"/>
    <cellStyle name="Explanatory Text 2 9 2 2" xfId="8491" xr:uid="{00000000-0005-0000-0000-00002B210000}"/>
    <cellStyle name="Explanatory Text 2 9 3" xfId="8492" xr:uid="{00000000-0005-0000-0000-00002C210000}"/>
    <cellStyle name="Explanatory Text 3" xfId="8493" xr:uid="{00000000-0005-0000-0000-00002D210000}"/>
    <cellStyle name="Explanatory Text 3 2" xfId="8494" xr:uid="{00000000-0005-0000-0000-00002E210000}"/>
    <cellStyle name="Explanatory Text 3 2 2" xfId="8495" xr:uid="{00000000-0005-0000-0000-00002F210000}"/>
    <cellStyle name="Explanatory Text 3 3" xfId="8496" xr:uid="{00000000-0005-0000-0000-000030210000}"/>
    <cellStyle name="Explanatory Text 3 3 2" xfId="8497" xr:uid="{00000000-0005-0000-0000-000031210000}"/>
    <cellStyle name="Explanatory Text 3 4" xfId="8498" xr:uid="{00000000-0005-0000-0000-000032210000}"/>
    <cellStyle name="Explanatory Text 3 4 2" xfId="8499" xr:uid="{00000000-0005-0000-0000-000033210000}"/>
    <cellStyle name="Explanatory Text 3 4 2 2" xfId="8500" xr:uid="{00000000-0005-0000-0000-000034210000}"/>
    <cellStyle name="Explanatory Text 3 4 3" xfId="8501" xr:uid="{00000000-0005-0000-0000-000035210000}"/>
    <cellStyle name="Explanatory Text 3 5" xfId="8502" xr:uid="{00000000-0005-0000-0000-000036210000}"/>
    <cellStyle name="Explanatory Text 4" xfId="8503" xr:uid="{00000000-0005-0000-0000-000037210000}"/>
    <cellStyle name="Explanatory Text 4 2" xfId="8504" xr:uid="{00000000-0005-0000-0000-000038210000}"/>
    <cellStyle name="Explanatory Text 4 2 2" xfId="8505" xr:uid="{00000000-0005-0000-0000-000039210000}"/>
    <cellStyle name="Explanatory Text 4 3" xfId="8506" xr:uid="{00000000-0005-0000-0000-00003A210000}"/>
    <cellStyle name="Explanatory Text 4 3 2" xfId="8507" xr:uid="{00000000-0005-0000-0000-00003B210000}"/>
    <cellStyle name="Explanatory Text 4 3 2 2" xfId="8508" xr:uid="{00000000-0005-0000-0000-00003C210000}"/>
    <cellStyle name="Explanatory Text 4 3 3" xfId="8509" xr:uid="{00000000-0005-0000-0000-00003D210000}"/>
    <cellStyle name="Explanatory Text 4 4" xfId="8510" xr:uid="{00000000-0005-0000-0000-00003E210000}"/>
    <cellStyle name="Explanatory Text 5" xfId="8511" xr:uid="{00000000-0005-0000-0000-00003F210000}"/>
    <cellStyle name="Explanatory Text 5 2" xfId="8512" xr:uid="{00000000-0005-0000-0000-000040210000}"/>
    <cellStyle name="Explanatory Text 5 2 2" xfId="8513" xr:uid="{00000000-0005-0000-0000-000041210000}"/>
    <cellStyle name="Explanatory Text 5 3" xfId="8514" xr:uid="{00000000-0005-0000-0000-000042210000}"/>
    <cellStyle name="Explanatory Text 5 3 2" xfId="8515" xr:uid="{00000000-0005-0000-0000-000043210000}"/>
    <cellStyle name="Explanatory Text 5 3 2 2" xfId="8516" xr:uid="{00000000-0005-0000-0000-000044210000}"/>
    <cellStyle name="Explanatory Text 5 3 3" xfId="8517" xr:uid="{00000000-0005-0000-0000-000045210000}"/>
    <cellStyle name="Explanatory Text 5 4" xfId="8518" xr:uid="{00000000-0005-0000-0000-000046210000}"/>
    <cellStyle name="Explanatory Text 6" xfId="8519" xr:uid="{00000000-0005-0000-0000-000047210000}"/>
    <cellStyle name="Explanatory Text 6 2" xfId="8520" xr:uid="{00000000-0005-0000-0000-000048210000}"/>
    <cellStyle name="Explanatory Text 6 2 2" xfId="8521" xr:uid="{00000000-0005-0000-0000-000049210000}"/>
    <cellStyle name="Explanatory Text 6 3" xfId="8522" xr:uid="{00000000-0005-0000-0000-00004A210000}"/>
    <cellStyle name="Explanatory Text 7" xfId="8523" xr:uid="{00000000-0005-0000-0000-00004B210000}"/>
    <cellStyle name="Explanatory Text 8" xfId="8524" xr:uid="{00000000-0005-0000-0000-00004C210000}"/>
    <cellStyle name="Fixed" xfId="8525" xr:uid="{00000000-0005-0000-0000-00004D210000}"/>
    <cellStyle name="Fixed 2" xfId="8526" xr:uid="{00000000-0005-0000-0000-00004E210000}"/>
    <cellStyle name="Fixed 2 2" xfId="8527" xr:uid="{00000000-0005-0000-0000-00004F210000}"/>
    <cellStyle name="Fixed 3" xfId="8528" xr:uid="{00000000-0005-0000-0000-000050210000}"/>
    <cellStyle name="Fixed 3 2" xfId="8529" xr:uid="{00000000-0005-0000-0000-000051210000}"/>
    <cellStyle name="Fixed 4" xfId="8530" xr:uid="{00000000-0005-0000-0000-000052210000}"/>
    <cellStyle name="Fixed 5" xfId="8531" xr:uid="{00000000-0005-0000-0000-000053210000}"/>
    <cellStyle name="Floating" xfId="8532" xr:uid="{00000000-0005-0000-0000-000054210000}"/>
    <cellStyle name="General" xfId="8533" xr:uid="{00000000-0005-0000-0000-000055210000}"/>
    <cellStyle name="General 2" xfId="8534" xr:uid="{00000000-0005-0000-0000-000056210000}"/>
    <cellStyle name="General 2 2" xfId="8535" xr:uid="{00000000-0005-0000-0000-000057210000}"/>
    <cellStyle name="General 2 2 2" xfId="8536" xr:uid="{00000000-0005-0000-0000-000058210000}"/>
    <cellStyle name="General 2 3" xfId="8537" xr:uid="{00000000-0005-0000-0000-000059210000}"/>
    <cellStyle name="General 3" xfId="8538" xr:uid="{00000000-0005-0000-0000-00005A210000}"/>
    <cellStyle name="General 3 2" xfId="8539" xr:uid="{00000000-0005-0000-0000-00005B210000}"/>
    <cellStyle name="General 3 2 2" xfId="8540" xr:uid="{00000000-0005-0000-0000-00005C210000}"/>
    <cellStyle name="General 3 3" xfId="8541" xr:uid="{00000000-0005-0000-0000-00005D210000}"/>
    <cellStyle name="General 3 3 2" xfId="8542" xr:uid="{00000000-0005-0000-0000-00005E210000}"/>
    <cellStyle name="General 3 3 2 2" xfId="8543" xr:uid="{00000000-0005-0000-0000-00005F210000}"/>
    <cellStyle name="General 3 3 3" xfId="8544" xr:uid="{00000000-0005-0000-0000-000060210000}"/>
    <cellStyle name="General 3 4" xfId="8545" xr:uid="{00000000-0005-0000-0000-000061210000}"/>
    <cellStyle name="General 4" xfId="8546" xr:uid="{00000000-0005-0000-0000-000062210000}"/>
    <cellStyle name="General 4 2" xfId="8547" xr:uid="{00000000-0005-0000-0000-000063210000}"/>
    <cellStyle name="General 4 2 2" xfId="8548" xr:uid="{00000000-0005-0000-0000-000064210000}"/>
    <cellStyle name="General 4 3" xfId="8549" xr:uid="{00000000-0005-0000-0000-000065210000}"/>
    <cellStyle name="General 5" xfId="8550" xr:uid="{00000000-0005-0000-0000-000066210000}"/>
    <cellStyle name="General2" xfId="8551" xr:uid="{00000000-0005-0000-0000-000067210000}"/>
    <cellStyle name="Good 2" xfId="8552" xr:uid="{00000000-0005-0000-0000-000068210000}"/>
    <cellStyle name="Good 2 10" xfId="8553" xr:uid="{00000000-0005-0000-0000-000069210000}"/>
    <cellStyle name="Good 2 10 2" xfId="8554" xr:uid="{00000000-0005-0000-0000-00006A210000}"/>
    <cellStyle name="Good 2 11" xfId="8555" xr:uid="{00000000-0005-0000-0000-00006B210000}"/>
    <cellStyle name="Good 2 12" xfId="8556" xr:uid="{00000000-0005-0000-0000-00006C210000}"/>
    <cellStyle name="Good 2 2" xfId="8557" xr:uid="{00000000-0005-0000-0000-00006D210000}"/>
    <cellStyle name="Good 2 2 2" xfId="8558" xr:uid="{00000000-0005-0000-0000-00006E210000}"/>
    <cellStyle name="Good 2 2 2 2" xfId="8559" xr:uid="{00000000-0005-0000-0000-00006F210000}"/>
    <cellStyle name="Good 2 2 3" xfId="8560" xr:uid="{00000000-0005-0000-0000-000070210000}"/>
    <cellStyle name="Good 2 2 3 2" xfId="8561" xr:uid="{00000000-0005-0000-0000-000071210000}"/>
    <cellStyle name="Good 2 2 3 2 2" xfId="8562" xr:uid="{00000000-0005-0000-0000-000072210000}"/>
    <cellStyle name="Good 2 2 3 3" xfId="8563" xr:uid="{00000000-0005-0000-0000-000073210000}"/>
    <cellStyle name="Good 2 2 4" xfId="8564" xr:uid="{00000000-0005-0000-0000-000074210000}"/>
    <cellStyle name="Good 2 2 4 2" xfId="8565" xr:uid="{00000000-0005-0000-0000-000075210000}"/>
    <cellStyle name="Good 2 2 5" xfId="8566" xr:uid="{00000000-0005-0000-0000-000076210000}"/>
    <cellStyle name="Good 2 3" xfId="8567" xr:uid="{00000000-0005-0000-0000-000077210000}"/>
    <cellStyle name="Good 2 3 2" xfId="8568" xr:uid="{00000000-0005-0000-0000-000078210000}"/>
    <cellStyle name="Good 2 3 2 2" xfId="8569" xr:uid="{00000000-0005-0000-0000-000079210000}"/>
    <cellStyle name="Good 2 3 3" xfId="8570" xr:uid="{00000000-0005-0000-0000-00007A210000}"/>
    <cellStyle name="Good 2 3 3 2" xfId="8571" xr:uid="{00000000-0005-0000-0000-00007B210000}"/>
    <cellStyle name="Good 2 3 3 2 2" xfId="8572" xr:uid="{00000000-0005-0000-0000-00007C210000}"/>
    <cellStyle name="Good 2 3 3 3" xfId="8573" xr:uid="{00000000-0005-0000-0000-00007D210000}"/>
    <cellStyle name="Good 2 3 4" xfId="8574" xr:uid="{00000000-0005-0000-0000-00007E210000}"/>
    <cellStyle name="Good 2 4" xfId="8575" xr:uid="{00000000-0005-0000-0000-00007F210000}"/>
    <cellStyle name="Good 2 4 2" xfId="8576" xr:uid="{00000000-0005-0000-0000-000080210000}"/>
    <cellStyle name="Good 2 4 2 2" xfId="8577" xr:uid="{00000000-0005-0000-0000-000081210000}"/>
    <cellStyle name="Good 2 4 3" xfId="8578" xr:uid="{00000000-0005-0000-0000-000082210000}"/>
    <cellStyle name="Good 2 5" xfId="8579" xr:uid="{00000000-0005-0000-0000-000083210000}"/>
    <cellStyle name="Good 2 5 2" xfId="8580" xr:uid="{00000000-0005-0000-0000-000084210000}"/>
    <cellStyle name="Good 2 5 2 2" xfId="8581" xr:uid="{00000000-0005-0000-0000-000085210000}"/>
    <cellStyle name="Good 2 5 3" xfId="8582" xr:uid="{00000000-0005-0000-0000-000086210000}"/>
    <cellStyle name="Good 2 5 3 2" xfId="8583" xr:uid="{00000000-0005-0000-0000-000087210000}"/>
    <cellStyle name="Good 2 5 3 2 2" xfId="8584" xr:uid="{00000000-0005-0000-0000-000088210000}"/>
    <cellStyle name="Good 2 5 3 3" xfId="8585" xr:uid="{00000000-0005-0000-0000-000089210000}"/>
    <cellStyle name="Good 2 5 4" xfId="8586" xr:uid="{00000000-0005-0000-0000-00008A210000}"/>
    <cellStyle name="Good 2 6" xfId="8587" xr:uid="{00000000-0005-0000-0000-00008B210000}"/>
    <cellStyle name="Good 2 6 2" xfId="8588" xr:uid="{00000000-0005-0000-0000-00008C210000}"/>
    <cellStyle name="Good 2 6 2 2" xfId="8589" xr:uid="{00000000-0005-0000-0000-00008D210000}"/>
    <cellStyle name="Good 2 6 3" xfId="8590" xr:uid="{00000000-0005-0000-0000-00008E210000}"/>
    <cellStyle name="Good 2 6 3 2" xfId="8591" xr:uid="{00000000-0005-0000-0000-00008F210000}"/>
    <cellStyle name="Good 2 6 3 2 2" xfId="8592" xr:uid="{00000000-0005-0000-0000-000090210000}"/>
    <cellStyle name="Good 2 6 3 3" xfId="8593" xr:uid="{00000000-0005-0000-0000-000091210000}"/>
    <cellStyle name="Good 2 6 4" xfId="8594" xr:uid="{00000000-0005-0000-0000-000092210000}"/>
    <cellStyle name="Good 2 6 4 2" xfId="8595" xr:uid="{00000000-0005-0000-0000-000093210000}"/>
    <cellStyle name="Good 2 6 5" xfId="8596" xr:uid="{00000000-0005-0000-0000-000094210000}"/>
    <cellStyle name="Good 2 7" xfId="8597" xr:uid="{00000000-0005-0000-0000-000095210000}"/>
    <cellStyle name="Good 2 7 2" xfId="8598" xr:uid="{00000000-0005-0000-0000-000096210000}"/>
    <cellStyle name="Good 2 8" xfId="8599" xr:uid="{00000000-0005-0000-0000-000097210000}"/>
    <cellStyle name="Good 2 8 2" xfId="8600" xr:uid="{00000000-0005-0000-0000-000098210000}"/>
    <cellStyle name="Good 2 8 2 2" xfId="8601" xr:uid="{00000000-0005-0000-0000-000099210000}"/>
    <cellStyle name="Good 2 8 3" xfId="8602" xr:uid="{00000000-0005-0000-0000-00009A210000}"/>
    <cellStyle name="Good 2 9" xfId="8603" xr:uid="{00000000-0005-0000-0000-00009B210000}"/>
    <cellStyle name="Good 2 9 2" xfId="8604" xr:uid="{00000000-0005-0000-0000-00009C210000}"/>
    <cellStyle name="Good 2 9 2 2" xfId="8605" xr:uid="{00000000-0005-0000-0000-00009D210000}"/>
    <cellStyle name="Good 2 9 3" xfId="8606" xr:uid="{00000000-0005-0000-0000-00009E210000}"/>
    <cellStyle name="Good 3" xfId="8607" xr:uid="{00000000-0005-0000-0000-00009F210000}"/>
    <cellStyle name="Good 3 2" xfId="8608" xr:uid="{00000000-0005-0000-0000-0000A0210000}"/>
    <cellStyle name="Good 3 2 2" xfId="8609" xr:uid="{00000000-0005-0000-0000-0000A1210000}"/>
    <cellStyle name="Good 3 3" xfId="8610" xr:uid="{00000000-0005-0000-0000-0000A2210000}"/>
    <cellStyle name="Good 3 3 2" xfId="8611" xr:uid="{00000000-0005-0000-0000-0000A3210000}"/>
    <cellStyle name="Good 3 4" xfId="8612" xr:uid="{00000000-0005-0000-0000-0000A4210000}"/>
    <cellStyle name="Good 3 4 2" xfId="8613" xr:uid="{00000000-0005-0000-0000-0000A5210000}"/>
    <cellStyle name="Good 3 4 2 2" xfId="8614" xr:uid="{00000000-0005-0000-0000-0000A6210000}"/>
    <cellStyle name="Good 3 4 3" xfId="8615" xr:uid="{00000000-0005-0000-0000-0000A7210000}"/>
    <cellStyle name="Good 3 5" xfId="8616" xr:uid="{00000000-0005-0000-0000-0000A8210000}"/>
    <cellStyle name="Good 4" xfId="8617" xr:uid="{00000000-0005-0000-0000-0000A9210000}"/>
    <cellStyle name="Good 4 2" xfId="8618" xr:uid="{00000000-0005-0000-0000-0000AA210000}"/>
    <cellStyle name="Good 4 2 2" xfId="8619" xr:uid="{00000000-0005-0000-0000-0000AB210000}"/>
    <cellStyle name="Good 4 3" xfId="8620" xr:uid="{00000000-0005-0000-0000-0000AC210000}"/>
    <cellStyle name="Good 4 3 2" xfId="8621" xr:uid="{00000000-0005-0000-0000-0000AD210000}"/>
    <cellStyle name="Good 4 3 2 2" xfId="8622" xr:uid="{00000000-0005-0000-0000-0000AE210000}"/>
    <cellStyle name="Good 4 3 3" xfId="8623" xr:uid="{00000000-0005-0000-0000-0000AF210000}"/>
    <cellStyle name="Good 4 4" xfId="8624" xr:uid="{00000000-0005-0000-0000-0000B0210000}"/>
    <cellStyle name="Good 5" xfId="8625" xr:uid="{00000000-0005-0000-0000-0000B1210000}"/>
    <cellStyle name="Good 5 2" xfId="8626" xr:uid="{00000000-0005-0000-0000-0000B2210000}"/>
    <cellStyle name="Good 5 2 2" xfId="8627" xr:uid="{00000000-0005-0000-0000-0000B3210000}"/>
    <cellStyle name="Good 5 3" xfId="8628" xr:uid="{00000000-0005-0000-0000-0000B4210000}"/>
    <cellStyle name="Good 5 3 2" xfId="8629" xr:uid="{00000000-0005-0000-0000-0000B5210000}"/>
    <cellStyle name="Good 5 3 2 2" xfId="8630" xr:uid="{00000000-0005-0000-0000-0000B6210000}"/>
    <cellStyle name="Good 5 3 3" xfId="8631" xr:uid="{00000000-0005-0000-0000-0000B7210000}"/>
    <cellStyle name="Good 5 4" xfId="8632" xr:uid="{00000000-0005-0000-0000-0000B8210000}"/>
    <cellStyle name="Good 6" xfId="8633" xr:uid="{00000000-0005-0000-0000-0000B9210000}"/>
    <cellStyle name="Good 6 2" xfId="8634" xr:uid="{00000000-0005-0000-0000-0000BA210000}"/>
    <cellStyle name="Good 6 2 2" xfId="8635" xr:uid="{00000000-0005-0000-0000-0000BB210000}"/>
    <cellStyle name="Good 6 3" xfId="8636" xr:uid="{00000000-0005-0000-0000-0000BC210000}"/>
    <cellStyle name="Good 7" xfId="8637" xr:uid="{00000000-0005-0000-0000-0000BD210000}"/>
    <cellStyle name="Good 7 2" xfId="8638" xr:uid="{00000000-0005-0000-0000-0000BE210000}"/>
    <cellStyle name="Good 8" xfId="8639" xr:uid="{00000000-0005-0000-0000-0000BF210000}"/>
    <cellStyle name="Good 9" xfId="8640" xr:uid="{00000000-0005-0000-0000-0000C0210000}"/>
    <cellStyle name="Grey" xfId="8641" xr:uid="{00000000-0005-0000-0000-0000C1210000}"/>
    <cellStyle name="Grey 2" xfId="8642" xr:uid="{00000000-0005-0000-0000-0000C2210000}"/>
    <cellStyle name="HEADER" xfId="8643" xr:uid="{00000000-0005-0000-0000-0000C3210000}"/>
    <cellStyle name="HEADER 2" xfId="8644" xr:uid="{00000000-0005-0000-0000-0000C4210000}"/>
    <cellStyle name="HEADER 2 2" xfId="8645" xr:uid="{00000000-0005-0000-0000-0000C5210000}"/>
    <cellStyle name="HEADER 2 2 2" xfId="8646" xr:uid="{00000000-0005-0000-0000-0000C6210000}"/>
    <cellStyle name="HEADER 2 2 2 2" xfId="8647" xr:uid="{00000000-0005-0000-0000-0000C7210000}"/>
    <cellStyle name="HEADER 2 2 3" xfId="8648" xr:uid="{00000000-0005-0000-0000-0000C8210000}"/>
    <cellStyle name="HEADER 2 2 3 2" xfId="8649" xr:uid="{00000000-0005-0000-0000-0000C9210000}"/>
    <cellStyle name="HEADER 2 2 3 2 2" xfId="8650" xr:uid="{00000000-0005-0000-0000-0000CA210000}"/>
    <cellStyle name="HEADER 2 2 3 3" xfId="8651" xr:uid="{00000000-0005-0000-0000-0000CB210000}"/>
    <cellStyle name="HEADER 2 2 4" xfId="8652" xr:uid="{00000000-0005-0000-0000-0000CC210000}"/>
    <cellStyle name="HEADER 2 3" xfId="8653" xr:uid="{00000000-0005-0000-0000-0000CD210000}"/>
    <cellStyle name="HEADER 2 3 2" xfId="8654" xr:uid="{00000000-0005-0000-0000-0000CE210000}"/>
    <cellStyle name="HEADER 2 4" xfId="8655" xr:uid="{00000000-0005-0000-0000-0000CF210000}"/>
    <cellStyle name="HEADER 3" xfId="8656" xr:uid="{00000000-0005-0000-0000-0000D0210000}"/>
    <cellStyle name="HEADER 3 2" xfId="8657" xr:uid="{00000000-0005-0000-0000-0000D1210000}"/>
    <cellStyle name="HEADER 4" xfId="8658" xr:uid="{00000000-0005-0000-0000-0000D2210000}"/>
    <cellStyle name="HEADER 4 2" xfId="8659" xr:uid="{00000000-0005-0000-0000-0000D3210000}"/>
    <cellStyle name="HEADER 5" xfId="8660" xr:uid="{00000000-0005-0000-0000-0000D4210000}"/>
    <cellStyle name="Header1" xfId="8661" xr:uid="{00000000-0005-0000-0000-0000D5210000}"/>
    <cellStyle name="Header1 2" xfId="8662" xr:uid="{00000000-0005-0000-0000-0000D6210000}"/>
    <cellStyle name="Header1 2 2" xfId="8663" xr:uid="{00000000-0005-0000-0000-0000D7210000}"/>
    <cellStyle name="Header1 2 2 2" xfId="8664" xr:uid="{00000000-0005-0000-0000-0000D8210000}"/>
    <cellStyle name="Header1 2 3" xfId="8665" xr:uid="{00000000-0005-0000-0000-0000D9210000}"/>
    <cellStyle name="Header1 2 3 2" xfId="8666" xr:uid="{00000000-0005-0000-0000-0000DA210000}"/>
    <cellStyle name="Header1 2 3 2 2" xfId="8667" xr:uid="{00000000-0005-0000-0000-0000DB210000}"/>
    <cellStyle name="Header1 2 3 3" xfId="8668" xr:uid="{00000000-0005-0000-0000-0000DC210000}"/>
    <cellStyle name="Header1 2 4" xfId="8669" xr:uid="{00000000-0005-0000-0000-0000DD210000}"/>
    <cellStyle name="Header1 3" xfId="8670" xr:uid="{00000000-0005-0000-0000-0000DE210000}"/>
    <cellStyle name="Header1 3 2" xfId="8671" xr:uid="{00000000-0005-0000-0000-0000DF210000}"/>
    <cellStyle name="Header1 3 2 2" xfId="8672" xr:uid="{00000000-0005-0000-0000-0000E0210000}"/>
    <cellStyle name="Header1 3 3" xfId="8673" xr:uid="{00000000-0005-0000-0000-0000E1210000}"/>
    <cellStyle name="Header1 4" xfId="8674" xr:uid="{00000000-0005-0000-0000-0000E2210000}"/>
    <cellStyle name="Header1 4 2" xfId="8675" xr:uid="{00000000-0005-0000-0000-0000E3210000}"/>
    <cellStyle name="Header1 5" xfId="8676" xr:uid="{00000000-0005-0000-0000-0000E4210000}"/>
    <cellStyle name="Header1 5 2" xfId="8677" xr:uid="{00000000-0005-0000-0000-0000E5210000}"/>
    <cellStyle name="Header1 6" xfId="8678" xr:uid="{00000000-0005-0000-0000-0000E6210000}"/>
    <cellStyle name="Header2" xfId="8679" xr:uid="{00000000-0005-0000-0000-0000E7210000}"/>
    <cellStyle name="Header2 2" xfId="8680" xr:uid="{00000000-0005-0000-0000-0000E8210000}"/>
    <cellStyle name="Header2 2 2" xfId="8681" xr:uid="{00000000-0005-0000-0000-0000E9210000}"/>
    <cellStyle name="Header2 2 2 2" xfId="8682" xr:uid="{00000000-0005-0000-0000-0000EA210000}"/>
    <cellStyle name="Header2 2 2 2 2" xfId="8683" xr:uid="{00000000-0005-0000-0000-0000EB210000}"/>
    <cellStyle name="Header2 2 2 2 2 2" xfId="8684" xr:uid="{00000000-0005-0000-0000-0000EC210000}"/>
    <cellStyle name="Header2 2 2 2 2 2 2" xfId="8685" xr:uid="{00000000-0005-0000-0000-0000ED210000}"/>
    <cellStyle name="Header2 2 2 2 2 2 2 2" xfId="8686" xr:uid="{00000000-0005-0000-0000-0000EE210000}"/>
    <cellStyle name="Header2 2 2 2 2 2 2 3" xfId="8687" xr:uid="{00000000-0005-0000-0000-0000EF210000}"/>
    <cellStyle name="Header2 2 2 2 2 2 3" xfId="8688" xr:uid="{00000000-0005-0000-0000-0000F0210000}"/>
    <cellStyle name="Header2 2 2 2 2 3" xfId="8689" xr:uid="{00000000-0005-0000-0000-0000F1210000}"/>
    <cellStyle name="Header2 2 2 2 3" xfId="8690" xr:uid="{00000000-0005-0000-0000-0000F2210000}"/>
    <cellStyle name="Header2 2 2 2 3 2" xfId="8691" xr:uid="{00000000-0005-0000-0000-0000F3210000}"/>
    <cellStyle name="Header2 2 2 2 3 2 2" xfId="8692" xr:uid="{00000000-0005-0000-0000-0000F4210000}"/>
    <cellStyle name="Header2 2 2 2 3 2 2 2" xfId="8693" xr:uid="{00000000-0005-0000-0000-0000F5210000}"/>
    <cellStyle name="Header2 2 2 2 3 2 2 3" xfId="8694" xr:uid="{00000000-0005-0000-0000-0000F6210000}"/>
    <cellStyle name="Header2 2 2 2 3 2 3" xfId="8695" xr:uid="{00000000-0005-0000-0000-0000F7210000}"/>
    <cellStyle name="Header2 2 2 2 3 3" xfId="8696" xr:uid="{00000000-0005-0000-0000-0000F8210000}"/>
    <cellStyle name="Header2 2 2 2 3 3 2" xfId="8697" xr:uid="{00000000-0005-0000-0000-0000F9210000}"/>
    <cellStyle name="Header2 2 2 2 3 3 3" xfId="8698" xr:uid="{00000000-0005-0000-0000-0000FA210000}"/>
    <cellStyle name="Header2 2 2 2 3 4" xfId="8699" xr:uid="{00000000-0005-0000-0000-0000FB210000}"/>
    <cellStyle name="Header2 2 2 2 4" xfId="8700" xr:uid="{00000000-0005-0000-0000-0000FC210000}"/>
    <cellStyle name="Header2 2 2 2 4 2" xfId="8701" xr:uid="{00000000-0005-0000-0000-0000FD210000}"/>
    <cellStyle name="Header2 2 2 2 4 2 2" xfId="8702" xr:uid="{00000000-0005-0000-0000-0000FE210000}"/>
    <cellStyle name="Header2 2 2 2 4 2 3" xfId="8703" xr:uid="{00000000-0005-0000-0000-0000FF210000}"/>
    <cellStyle name="Header2 2 2 2 4 3" xfId="8704" xr:uid="{00000000-0005-0000-0000-000000220000}"/>
    <cellStyle name="Header2 2 2 2 5" xfId="8705" xr:uid="{00000000-0005-0000-0000-000001220000}"/>
    <cellStyle name="Header2 2 2 2 5 2" xfId="8706" xr:uid="{00000000-0005-0000-0000-000002220000}"/>
    <cellStyle name="Header2 2 2 2 5 3" xfId="8707" xr:uid="{00000000-0005-0000-0000-000003220000}"/>
    <cellStyle name="Header2 2 2 2 6" xfId="8708" xr:uid="{00000000-0005-0000-0000-000004220000}"/>
    <cellStyle name="Header2 2 2 3" xfId="8709" xr:uid="{00000000-0005-0000-0000-000005220000}"/>
    <cellStyle name="Header2 2 3" xfId="8710" xr:uid="{00000000-0005-0000-0000-000006220000}"/>
    <cellStyle name="Header2 2 3 2" xfId="8711" xr:uid="{00000000-0005-0000-0000-000007220000}"/>
    <cellStyle name="Header2 2 3 2 2" xfId="8712" xr:uid="{00000000-0005-0000-0000-000008220000}"/>
    <cellStyle name="Header2 2 3 2 2 2" xfId="8713" xr:uid="{00000000-0005-0000-0000-000009220000}"/>
    <cellStyle name="Header2 2 3 2 2 2 2" xfId="8714" xr:uid="{00000000-0005-0000-0000-00000A220000}"/>
    <cellStyle name="Header2 2 3 2 2 2 2 2" xfId="8715" xr:uid="{00000000-0005-0000-0000-00000B220000}"/>
    <cellStyle name="Header2 2 3 2 2 2 2 2 2" xfId="8716" xr:uid="{00000000-0005-0000-0000-00000C220000}"/>
    <cellStyle name="Header2 2 3 2 2 2 2 2 3" xfId="8717" xr:uid="{00000000-0005-0000-0000-00000D220000}"/>
    <cellStyle name="Header2 2 3 2 2 2 2 3" xfId="8718" xr:uid="{00000000-0005-0000-0000-00000E220000}"/>
    <cellStyle name="Header2 2 3 2 2 2 3" xfId="8719" xr:uid="{00000000-0005-0000-0000-00000F220000}"/>
    <cellStyle name="Header2 2 3 2 2 3" xfId="8720" xr:uid="{00000000-0005-0000-0000-000010220000}"/>
    <cellStyle name="Header2 2 3 2 2 3 2" xfId="8721" xr:uid="{00000000-0005-0000-0000-000011220000}"/>
    <cellStyle name="Header2 2 3 2 2 3 2 2" xfId="8722" xr:uid="{00000000-0005-0000-0000-000012220000}"/>
    <cellStyle name="Header2 2 3 2 2 3 2 2 2" xfId="8723" xr:uid="{00000000-0005-0000-0000-000013220000}"/>
    <cellStyle name="Header2 2 3 2 2 3 2 2 3" xfId="8724" xr:uid="{00000000-0005-0000-0000-000014220000}"/>
    <cellStyle name="Header2 2 3 2 2 3 2 3" xfId="8725" xr:uid="{00000000-0005-0000-0000-000015220000}"/>
    <cellStyle name="Header2 2 3 2 2 3 3" xfId="8726" xr:uid="{00000000-0005-0000-0000-000016220000}"/>
    <cellStyle name="Header2 2 3 2 2 3 3 2" xfId="8727" xr:uid="{00000000-0005-0000-0000-000017220000}"/>
    <cellStyle name="Header2 2 3 2 2 3 3 3" xfId="8728" xr:uid="{00000000-0005-0000-0000-000018220000}"/>
    <cellStyle name="Header2 2 3 2 2 3 4" xfId="8729" xr:uid="{00000000-0005-0000-0000-000019220000}"/>
    <cellStyle name="Header2 2 3 2 2 4" xfId="8730" xr:uid="{00000000-0005-0000-0000-00001A220000}"/>
    <cellStyle name="Header2 2 3 2 2 4 2" xfId="8731" xr:uid="{00000000-0005-0000-0000-00001B220000}"/>
    <cellStyle name="Header2 2 3 2 2 4 2 2" xfId="8732" xr:uid="{00000000-0005-0000-0000-00001C220000}"/>
    <cellStyle name="Header2 2 3 2 2 4 2 3" xfId="8733" xr:uid="{00000000-0005-0000-0000-00001D220000}"/>
    <cellStyle name="Header2 2 3 2 2 4 3" xfId="8734" xr:uid="{00000000-0005-0000-0000-00001E220000}"/>
    <cellStyle name="Header2 2 3 2 2 5" xfId="8735" xr:uid="{00000000-0005-0000-0000-00001F220000}"/>
    <cellStyle name="Header2 2 3 2 2 5 2" xfId="8736" xr:uid="{00000000-0005-0000-0000-000020220000}"/>
    <cellStyle name="Header2 2 3 2 2 5 3" xfId="8737" xr:uid="{00000000-0005-0000-0000-000021220000}"/>
    <cellStyle name="Header2 2 3 2 2 6" xfId="8738" xr:uid="{00000000-0005-0000-0000-000022220000}"/>
    <cellStyle name="Header2 2 3 2 3" xfId="8739" xr:uid="{00000000-0005-0000-0000-000023220000}"/>
    <cellStyle name="Header2 2 3 3" xfId="8740" xr:uid="{00000000-0005-0000-0000-000024220000}"/>
    <cellStyle name="Header2 2 3 3 2" xfId="8741" xr:uid="{00000000-0005-0000-0000-000025220000}"/>
    <cellStyle name="Header2 2 3 3 2 2" xfId="8742" xr:uid="{00000000-0005-0000-0000-000026220000}"/>
    <cellStyle name="Header2 2 3 3 2 2 2" xfId="8743" xr:uid="{00000000-0005-0000-0000-000027220000}"/>
    <cellStyle name="Header2 2 3 3 2 2 2 2" xfId="8744" xr:uid="{00000000-0005-0000-0000-000028220000}"/>
    <cellStyle name="Header2 2 3 3 2 2 2 3" xfId="8745" xr:uid="{00000000-0005-0000-0000-000029220000}"/>
    <cellStyle name="Header2 2 3 3 2 2 3" xfId="8746" xr:uid="{00000000-0005-0000-0000-00002A220000}"/>
    <cellStyle name="Header2 2 3 3 2 3" xfId="8747" xr:uid="{00000000-0005-0000-0000-00002B220000}"/>
    <cellStyle name="Header2 2 3 3 3" xfId="8748" xr:uid="{00000000-0005-0000-0000-00002C220000}"/>
    <cellStyle name="Header2 2 3 3 3 2" xfId="8749" xr:uid="{00000000-0005-0000-0000-00002D220000}"/>
    <cellStyle name="Header2 2 3 3 3 2 2" xfId="8750" xr:uid="{00000000-0005-0000-0000-00002E220000}"/>
    <cellStyle name="Header2 2 3 3 3 2 2 2" xfId="8751" xr:uid="{00000000-0005-0000-0000-00002F220000}"/>
    <cellStyle name="Header2 2 3 3 3 2 2 3" xfId="8752" xr:uid="{00000000-0005-0000-0000-000030220000}"/>
    <cellStyle name="Header2 2 3 3 3 2 3" xfId="8753" xr:uid="{00000000-0005-0000-0000-000031220000}"/>
    <cellStyle name="Header2 2 3 3 3 3" xfId="8754" xr:uid="{00000000-0005-0000-0000-000032220000}"/>
    <cellStyle name="Header2 2 3 3 3 3 2" xfId="8755" xr:uid="{00000000-0005-0000-0000-000033220000}"/>
    <cellStyle name="Header2 2 3 3 3 3 3" xfId="8756" xr:uid="{00000000-0005-0000-0000-000034220000}"/>
    <cellStyle name="Header2 2 3 3 3 4" xfId="8757" xr:uid="{00000000-0005-0000-0000-000035220000}"/>
    <cellStyle name="Header2 2 3 3 4" xfId="8758" xr:uid="{00000000-0005-0000-0000-000036220000}"/>
    <cellStyle name="Header2 2 3 3 4 2" xfId="8759" xr:uid="{00000000-0005-0000-0000-000037220000}"/>
    <cellStyle name="Header2 2 3 3 4 2 2" xfId="8760" xr:uid="{00000000-0005-0000-0000-000038220000}"/>
    <cellStyle name="Header2 2 3 3 4 2 3" xfId="8761" xr:uid="{00000000-0005-0000-0000-000039220000}"/>
    <cellStyle name="Header2 2 3 3 4 3" xfId="8762" xr:uid="{00000000-0005-0000-0000-00003A220000}"/>
    <cellStyle name="Header2 2 3 3 5" xfId="8763" xr:uid="{00000000-0005-0000-0000-00003B220000}"/>
    <cellStyle name="Header2 2 3 3 5 2" xfId="8764" xr:uid="{00000000-0005-0000-0000-00003C220000}"/>
    <cellStyle name="Header2 2 3 3 5 3" xfId="8765" xr:uid="{00000000-0005-0000-0000-00003D220000}"/>
    <cellStyle name="Header2 2 3 3 6" xfId="8766" xr:uid="{00000000-0005-0000-0000-00003E220000}"/>
    <cellStyle name="Header2 2 3 4" xfId="8767" xr:uid="{00000000-0005-0000-0000-00003F220000}"/>
    <cellStyle name="Header2 2 4" xfId="8768" xr:uid="{00000000-0005-0000-0000-000040220000}"/>
    <cellStyle name="Header2 2 4 2" xfId="8769" xr:uid="{00000000-0005-0000-0000-000041220000}"/>
    <cellStyle name="Header2 2 4 2 2" xfId="8770" xr:uid="{00000000-0005-0000-0000-000042220000}"/>
    <cellStyle name="Header2 2 4 2 2 2" xfId="8771" xr:uid="{00000000-0005-0000-0000-000043220000}"/>
    <cellStyle name="Header2 2 4 2 2 2 2" xfId="8772" xr:uid="{00000000-0005-0000-0000-000044220000}"/>
    <cellStyle name="Header2 2 4 2 2 2 3" xfId="8773" xr:uid="{00000000-0005-0000-0000-000045220000}"/>
    <cellStyle name="Header2 2 4 2 2 3" xfId="8774" xr:uid="{00000000-0005-0000-0000-000046220000}"/>
    <cellStyle name="Header2 2 4 2 3" xfId="8775" xr:uid="{00000000-0005-0000-0000-000047220000}"/>
    <cellStyle name="Header2 2 4 3" xfId="8776" xr:uid="{00000000-0005-0000-0000-000048220000}"/>
    <cellStyle name="Header2 2 4 3 2" xfId="8777" xr:uid="{00000000-0005-0000-0000-000049220000}"/>
    <cellStyle name="Header2 2 4 3 2 2" xfId="8778" xr:uid="{00000000-0005-0000-0000-00004A220000}"/>
    <cellStyle name="Header2 2 4 3 2 2 2" xfId="8779" xr:uid="{00000000-0005-0000-0000-00004B220000}"/>
    <cellStyle name="Header2 2 4 3 2 2 3" xfId="8780" xr:uid="{00000000-0005-0000-0000-00004C220000}"/>
    <cellStyle name="Header2 2 4 3 2 3" xfId="8781" xr:uid="{00000000-0005-0000-0000-00004D220000}"/>
    <cellStyle name="Header2 2 4 3 3" xfId="8782" xr:uid="{00000000-0005-0000-0000-00004E220000}"/>
    <cellStyle name="Header2 2 4 3 3 2" xfId="8783" xr:uid="{00000000-0005-0000-0000-00004F220000}"/>
    <cellStyle name="Header2 2 4 3 3 3" xfId="8784" xr:uid="{00000000-0005-0000-0000-000050220000}"/>
    <cellStyle name="Header2 2 4 3 4" xfId="8785" xr:uid="{00000000-0005-0000-0000-000051220000}"/>
    <cellStyle name="Header2 2 4 4" xfId="8786" xr:uid="{00000000-0005-0000-0000-000052220000}"/>
    <cellStyle name="Header2 2 4 4 2" xfId="8787" xr:uid="{00000000-0005-0000-0000-000053220000}"/>
    <cellStyle name="Header2 2 4 4 2 2" xfId="8788" xr:uid="{00000000-0005-0000-0000-000054220000}"/>
    <cellStyle name="Header2 2 4 4 2 3" xfId="8789" xr:uid="{00000000-0005-0000-0000-000055220000}"/>
    <cellStyle name="Header2 2 4 4 3" xfId="8790" xr:uid="{00000000-0005-0000-0000-000056220000}"/>
    <cellStyle name="Header2 2 4 5" xfId="8791" xr:uid="{00000000-0005-0000-0000-000057220000}"/>
    <cellStyle name="Header2 2 4 5 2" xfId="8792" xr:uid="{00000000-0005-0000-0000-000058220000}"/>
    <cellStyle name="Header2 2 4 5 3" xfId="8793" xr:uid="{00000000-0005-0000-0000-000059220000}"/>
    <cellStyle name="Header2 2 4 6" xfId="8794" xr:uid="{00000000-0005-0000-0000-00005A220000}"/>
    <cellStyle name="Header2 2 5" xfId="8795" xr:uid="{00000000-0005-0000-0000-00005B220000}"/>
    <cellStyle name="Header2 3" xfId="8796" xr:uid="{00000000-0005-0000-0000-00005C220000}"/>
    <cellStyle name="Header2 3 2" xfId="8797" xr:uid="{00000000-0005-0000-0000-00005D220000}"/>
    <cellStyle name="Header2 3 2 2" xfId="8798" xr:uid="{00000000-0005-0000-0000-00005E220000}"/>
    <cellStyle name="Header2 3 2 2 2" xfId="8799" xr:uid="{00000000-0005-0000-0000-00005F220000}"/>
    <cellStyle name="Header2 3 2 2 2 2" xfId="8800" xr:uid="{00000000-0005-0000-0000-000060220000}"/>
    <cellStyle name="Header2 3 2 2 2 2 2" xfId="8801" xr:uid="{00000000-0005-0000-0000-000061220000}"/>
    <cellStyle name="Header2 3 2 2 2 2 2 2" xfId="8802" xr:uid="{00000000-0005-0000-0000-000062220000}"/>
    <cellStyle name="Header2 3 2 2 2 2 2 3" xfId="8803" xr:uid="{00000000-0005-0000-0000-000063220000}"/>
    <cellStyle name="Header2 3 2 2 2 2 3" xfId="8804" xr:uid="{00000000-0005-0000-0000-000064220000}"/>
    <cellStyle name="Header2 3 2 2 2 3" xfId="8805" xr:uid="{00000000-0005-0000-0000-000065220000}"/>
    <cellStyle name="Header2 3 2 2 3" xfId="8806" xr:uid="{00000000-0005-0000-0000-000066220000}"/>
    <cellStyle name="Header2 3 2 2 3 2" xfId="8807" xr:uid="{00000000-0005-0000-0000-000067220000}"/>
    <cellStyle name="Header2 3 2 2 3 2 2" xfId="8808" xr:uid="{00000000-0005-0000-0000-000068220000}"/>
    <cellStyle name="Header2 3 2 2 3 2 2 2" xfId="8809" xr:uid="{00000000-0005-0000-0000-000069220000}"/>
    <cellStyle name="Header2 3 2 2 3 2 2 3" xfId="8810" xr:uid="{00000000-0005-0000-0000-00006A220000}"/>
    <cellStyle name="Header2 3 2 2 3 2 3" xfId="8811" xr:uid="{00000000-0005-0000-0000-00006B220000}"/>
    <cellStyle name="Header2 3 2 2 3 3" xfId="8812" xr:uid="{00000000-0005-0000-0000-00006C220000}"/>
    <cellStyle name="Header2 3 2 2 3 3 2" xfId="8813" xr:uid="{00000000-0005-0000-0000-00006D220000}"/>
    <cellStyle name="Header2 3 2 2 3 3 3" xfId="8814" xr:uid="{00000000-0005-0000-0000-00006E220000}"/>
    <cellStyle name="Header2 3 2 2 3 4" xfId="8815" xr:uid="{00000000-0005-0000-0000-00006F220000}"/>
    <cellStyle name="Header2 3 2 2 4" xfId="8816" xr:uid="{00000000-0005-0000-0000-000070220000}"/>
    <cellStyle name="Header2 3 2 2 4 2" xfId="8817" xr:uid="{00000000-0005-0000-0000-000071220000}"/>
    <cellStyle name="Header2 3 2 2 4 2 2" xfId="8818" xr:uid="{00000000-0005-0000-0000-000072220000}"/>
    <cellStyle name="Header2 3 2 2 4 2 3" xfId="8819" xr:uid="{00000000-0005-0000-0000-000073220000}"/>
    <cellStyle name="Header2 3 2 2 4 3" xfId="8820" xr:uid="{00000000-0005-0000-0000-000074220000}"/>
    <cellStyle name="Header2 3 2 2 5" xfId="8821" xr:uid="{00000000-0005-0000-0000-000075220000}"/>
    <cellStyle name="Header2 3 2 2 5 2" xfId="8822" xr:uid="{00000000-0005-0000-0000-000076220000}"/>
    <cellStyle name="Header2 3 2 2 5 3" xfId="8823" xr:uid="{00000000-0005-0000-0000-000077220000}"/>
    <cellStyle name="Header2 3 2 2 6" xfId="8824" xr:uid="{00000000-0005-0000-0000-000078220000}"/>
    <cellStyle name="Header2 3 2 3" xfId="8825" xr:uid="{00000000-0005-0000-0000-000079220000}"/>
    <cellStyle name="Header2 3 3" xfId="8826" xr:uid="{00000000-0005-0000-0000-00007A220000}"/>
    <cellStyle name="Header2 3 3 2" xfId="8827" xr:uid="{00000000-0005-0000-0000-00007B220000}"/>
    <cellStyle name="Header2 3 3 2 2" xfId="8828" xr:uid="{00000000-0005-0000-0000-00007C220000}"/>
    <cellStyle name="Header2 3 3 2 2 2" xfId="8829" xr:uid="{00000000-0005-0000-0000-00007D220000}"/>
    <cellStyle name="Header2 3 3 2 2 2 2" xfId="8830" xr:uid="{00000000-0005-0000-0000-00007E220000}"/>
    <cellStyle name="Header2 3 3 2 2 2 3" xfId="8831" xr:uid="{00000000-0005-0000-0000-00007F220000}"/>
    <cellStyle name="Header2 3 3 2 2 3" xfId="8832" xr:uid="{00000000-0005-0000-0000-000080220000}"/>
    <cellStyle name="Header2 3 3 2 3" xfId="8833" xr:uid="{00000000-0005-0000-0000-000081220000}"/>
    <cellStyle name="Header2 3 3 3" xfId="8834" xr:uid="{00000000-0005-0000-0000-000082220000}"/>
    <cellStyle name="Header2 3 3 3 2" xfId="8835" xr:uid="{00000000-0005-0000-0000-000083220000}"/>
    <cellStyle name="Header2 3 3 3 2 2" xfId="8836" xr:uid="{00000000-0005-0000-0000-000084220000}"/>
    <cellStyle name="Header2 3 3 3 2 2 2" xfId="8837" xr:uid="{00000000-0005-0000-0000-000085220000}"/>
    <cellStyle name="Header2 3 3 3 2 2 3" xfId="8838" xr:uid="{00000000-0005-0000-0000-000086220000}"/>
    <cellStyle name="Header2 3 3 3 2 3" xfId="8839" xr:uid="{00000000-0005-0000-0000-000087220000}"/>
    <cellStyle name="Header2 3 3 3 3" xfId="8840" xr:uid="{00000000-0005-0000-0000-000088220000}"/>
    <cellStyle name="Header2 3 3 3 3 2" xfId="8841" xr:uid="{00000000-0005-0000-0000-000089220000}"/>
    <cellStyle name="Header2 3 3 3 3 3" xfId="8842" xr:uid="{00000000-0005-0000-0000-00008A220000}"/>
    <cellStyle name="Header2 3 3 3 4" xfId="8843" xr:uid="{00000000-0005-0000-0000-00008B220000}"/>
    <cellStyle name="Header2 3 3 4" xfId="8844" xr:uid="{00000000-0005-0000-0000-00008C220000}"/>
    <cellStyle name="Header2 3 3 4 2" xfId="8845" xr:uid="{00000000-0005-0000-0000-00008D220000}"/>
    <cellStyle name="Header2 3 3 4 2 2" xfId="8846" xr:uid="{00000000-0005-0000-0000-00008E220000}"/>
    <cellStyle name="Header2 3 3 4 2 3" xfId="8847" xr:uid="{00000000-0005-0000-0000-00008F220000}"/>
    <cellStyle name="Header2 3 3 4 3" xfId="8848" xr:uid="{00000000-0005-0000-0000-000090220000}"/>
    <cellStyle name="Header2 3 3 5" xfId="8849" xr:uid="{00000000-0005-0000-0000-000091220000}"/>
    <cellStyle name="Header2 3 3 5 2" xfId="8850" xr:uid="{00000000-0005-0000-0000-000092220000}"/>
    <cellStyle name="Header2 3 3 5 3" xfId="8851" xr:uid="{00000000-0005-0000-0000-000093220000}"/>
    <cellStyle name="Header2 3 3 6" xfId="8852" xr:uid="{00000000-0005-0000-0000-000094220000}"/>
    <cellStyle name="Header2 3 4" xfId="8853" xr:uid="{00000000-0005-0000-0000-000095220000}"/>
    <cellStyle name="Header2 4" xfId="8854" xr:uid="{00000000-0005-0000-0000-000096220000}"/>
    <cellStyle name="Header2 4 2" xfId="8855" xr:uid="{00000000-0005-0000-0000-000097220000}"/>
    <cellStyle name="Header2 4 2 2" xfId="8856" xr:uid="{00000000-0005-0000-0000-000098220000}"/>
    <cellStyle name="Header2 4 2 2 2" xfId="8857" xr:uid="{00000000-0005-0000-0000-000099220000}"/>
    <cellStyle name="Header2 4 2 2 2 2" xfId="8858" xr:uid="{00000000-0005-0000-0000-00009A220000}"/>
    <cellStyle name="Header2 4 2 2 2 2 2" xfId="8859" xr:uid="{00000000-0005-0000-0000-00009B220000}"/>
    <cellStyle name="Header2 4 2 2 2 2 3" xfId="8860" xr:uid="{00000000-0005-0000-0000-00009C220000}"/>
    <cellStyle name="Header2 4 2 2 2 3" xfId="8861" xr:uid="{00000000-0005-0000-0000-00009D220000}"/>
    <cellStyle name="Header2 4 2 2 3" xfId="8862" xr:uid="{00000000-0005-0000-0000-00009E220000}"/>
    <cellStyle name="Header2 4 2 3" xfId="8863" xr:uid="{00000000-0005-0000-0000-00009F220000}"/>
    <cellStyle name="Header2 4 2 3 2" xfId="8864" xr:uid="{00000000-0005-0000-0000-0000A0220000}"/>
    <cellStyle name="Header2 4 2 3 2 2" xfId="8865" xr:uid="{00000000-0005-0000-0000-0000A1220000}"/>
    <cellStyle name="Header2 4 2 3 2 2 2" xfId="8866" xr:uid="{00000000-0005-0000-0000-0000A2220000}"/>
    <cellStyle name="Header2 4 2 3 2 2 3" xfId="8867" xr:uid="{00000000-0005-0000-0000-0000A3220000}"/>
    <cellStyle name="Header2 4 2 3 2 3" xfId="8868" xr:uid="{00000000-0005-0000-0000-0000A4220000}"/>
    <cellStyle name="Header2 4 2 3 3" xfId="8869" xr:uid="{00000000-0005-0000-0000-0000A5220000}"/>
    <cellStyle name="Header2 4 2 3 3 2" xfId="8870" xr:uid="{00000000-0005-0000-0000-0000A6220000}"/>
    <cellStyle name="Header2 4 2 3 3 3" xfId="8871" xr:uid="{00000000-0005-0000-0000-0000A7220000}"/>
    <cellStyle name="Header2 4 2 3 4" xfId="8872" xr:uid="{00000000-0005-0000-0000-0000A8220000}"/>
    <cellStyle name="Header2 4 2 4" xfId="8873" xr:uid="{00000000-0005-0000-0000-0000A9220000}"/>
    <cellStyle name="Header2 4 2 4 2" xfId="8874" xr:uid="{00000000-0005-0000-0000-0000AA220000}"/>
    <cellStyle name="Header2 4 2 4 2 2" xfId="8875" xr:uid="{00000000-0005-0000-0000-0000AB220000}"/>
    <cellStyle name="Header2 4 2 4 2 3" xfId="8876" xr:uid="{00000000-0005-0000-0000-0000AC220000}"/>
    <cellStyle name="Header2 4 2 4 3" xfId="8877" xr:uid="{00000000-0005-0000-0000-0000AD220000}"/>
    <cellStyle name="Header2 4 2 5" xfId="8878" xr:uid="{00000000-0005-0000-0000-0000AE220000}"/>
    <cellStyle name="Header2 4 2 5 2" xfId="8879" xr:uid="{00000000-0005-0000-0000-0000AF220000}"/>
    <cellStyle name="Header2 4 2 5 3" xfId="8880" xr:uid="{00000000-0005-0000-0000-0000B0220000}"/>
    <cellStyle name="Header2 4 2 6" xfId="8881" xr:uid="{00000000-0005-0000-0000-0000B1220000}"/>
    <cellStyle name="Header2 4 3" xfId="8882" xr:uid="{00000000-0005-0000-0000-0000B2220000}"/>
    <cellStyle name="Header2 5" xfId="8883" xr:uid="{00000000-0005-0000-0000-0000B3220000}"/>
    <cellStyle name="Header2 5 2" xfId="8884" xr:uid="{00000000-0005-0000-0000-0000B4220000}"/>
    <cellStyle name="Header2 5 2 2" xfId="8885" xr:uid="{00000000-0005-0000-0000-0000B5220000}"/>
    <cellStyle name="Header2 5 2 2 2" xfId="8886" xr:uid="{00000000-0005-0000-0000-0000B6220000}"/>
    <cellStyle name="Header2 5 2 2 3" xfId="8887" xr:uid="{00000000-0005-0000-0000-0000B7220000}"/>
    <cellStyle name="Header2 5 2 3" xfId="8888" xr:uid="{00000000-0005-0000-0000-0000B8220000}"/>
    <cellStyle name="Header2 5 3" xfId="8889" xr:uid="{00000000-0005-0000-0000-0000B9220000}"/>
    <cellStyle name="Header2 6" xfId="8890" xr:uid="{00000000-0005-0000-0000-0000BA220000}"/>
    <cellStyle name="Header2 6 2" xfId="8891" xr:uid="{00000000-0005-0000-0000-0000BB220000}"/>
    <cellStyle name="Header2 6 2 2" xfId="8892" xr:uid="{00000000-0005-0000-0000-0000BC220000}"/>
    <cellStyle name="Header2 6 2 2 2" xfId="8893" xr:uid="{00000000-0005-0000-0000-0000BD220000}"/>
    <cellStyle name="Header2 6 2 2 2 2" xfId="8894" xr:uid="{00000000-0005-0000-0000-0000BE220000}"/>
    <cellStyle name="Header2 6 2 2 2 3" xfId="8895" xr:uid="{00000000-0005-0000-0000-0000BF220000}"/>
    <cellStyle name="Header2 6 2 2 3" xfId="8896" xr:uid="{00000000-0005-0000-0000-0000C0220000}"/>
    <cellStyle name="Header2 6 2 3" xfId="8897" xr:uid="{00000000-0005-0000-0000-0000C1220000}"/>
    <cellStyle name="Header2 6 3" xfId="8898" xr:uid="{00000000-0005-0000-0000-0000C2220000}"/>
    <cellStyle name="Header2 6 3 2" xfId="8899" xr:uid="{00000000-0005-0000-0000-0000C3220000}"/>
    <cellStyle name="Header2 6 3 2 2" xfId="8900" xr:uid="{00000000-0005-0000-0000-0000C4220000}"/>
    <cellStyle name="Header2 6 3 2 2 2" xfId="8901" xr:uid="{00000000-0005-0000-0000-0000C5220000}"/>
    <cellStyle name="Header2 6 3 2 2 3" xfId="8902" xr:uid="{00000000-0005-0000-0000-0000C6220000}"/>
    <cellStyle name="Header2 6 3 2 3" xfId="8903" xr:uid="{00000000-0005-0000-0000-0000C7220000}"/>
    <cellStyle name="Header2 6 3 3" xfId="8904" xr:uid="{00000000-0005-0000-0000-0000C8220000}"/>
    <cellStyle name="Header2 6 3 3 2" xfId="8905" xr:uid="{00000000-0005-0000-0000-0000C9220000}"/>
    <cellStyle name="Header2 6 3 3 3" xfId="8906" xr:uid="{00000000-0005-0000-0000-0000CA220000}"/>
    <cellStyle name="Header2 6 3 4" xfId="8907" xr:uid="{00000000-0005-0000-0000-0000CB220000}"/>
    <cellStyle name="Header2 6 4" xfId="8908" xr:uid="{00000000-0005-0000-0000-0000CC220000}"/>
    <cellStyle name="Header2 6 4 2" xfId="8909" xr:uid="{00000000-0005-0000-0000-0000CD220000}"/>
    <cellStyle name="Header2 6 4 2 2" xfId="8910" xr:uid="{00000000-0005-0000-0000-0000CE220000}"/>
    <cellStyle name="Header2 6 4 2 3" xfId="8911" xr:uid="{00000000-0005-0000-0000-0000CF220000}"/>
    <cellStyle name="Header2 6 4 3" xfId="8912" xr:uid="{00000000-0005-0000-0000-0000D0220000}"/>
    <cellStyle name="Header2 6 5" xfId="8913" xr:uid="{00000000-0005-0000-0000-0000D1220000}"/>
    <cellStyle name="Header2 6 5 2" xfId="8914" xr:uid="{00000000-0005-0000-0000-0000D2220000}"/>
    <cellStyle name="Header2 6 5 3" xfId="8915" xr:uid="{00000000-0005-0000-0000-0000D3220000}"/>
    <cellStyle name="Header2 6 6" xfId="8916" xr:uid="{00000000-0005-0000-0000-0000D4220000}"/>
    <cellStyle name="Header2 7" xfId="8917" xr:uid="{00000000-0005-0000-0000-0000D5220000}"/>
    <cellStyle name="Heading 1 2" xfId="8918" xr:uid="{00000000-0005-0000-0000-0000D6220000}"/>
    <cellStyle name="Heading 1 2 10" xfId="8919" xr:uid="{00000000-0005-0000-0000-0000D7220000}"/>
    <cellStyle name="Heading 1 2 10 2" xfId="8920" xr:uid="{00000000-0005-0000-0000-0000D8220000}"/>
    <cellStyle name="Heading 1 2 11" xfId="8921" xr:uid="{00000000-0005-0000-0000-0000D9220000}"/>
    <cellStyle name="Heading 1 2 12" xfId="8922" xr:uid="{00000000-0005-0000-0000-0000DA220000}"/>
    <cellStyle name="Heading 1 2 2" xfId="8923" xr:uid="{00000000-0005-0000-0000-0000DB220000}"/>
    <cellStyle name="Heading 1 2 2 2" xfId="8924" xr:uid="{00000000-0005-0000-0000-0000DC220000}"/>
    <cellStyle name="Heading 1 2 2 2 2" xfId="8925" xr:uid="{00000000-0005-0000-0000-0000DD220000}"/>
    <cellStyle name="Heading 1 2 2 3" xfId="8926" xr:uid="{00000000-0005-0000-0000-0000DE220000}"/>
    <cellStyle name="Heading 1 2 2 3 2" xfId="8927" xr:uid="{00000000-0005-0000-0000-0000DF220000}"/>
    <cellStyle name="Heading 1 2 2 3 2 2" xfId="8928" xr:uid="{00000000-0005-0000-0000-0000E0220000}"/>
    <cellStyle name="Heading 1 2 2 3 3" xfId="8929" xr:uid="{00000000-0005-0000-0000-0000E1220000}"/>
    <cellStyle name="Heading 1 2 2 4" xfId="8930" xr:uid="{00000000-0005-0000-0000-0000E2220000}"/>
    <cellStyle name="Heading 1 2 3" xfId="8931" xr:uid="{00000000-0005-0000-0000-0000E3220000}"/>
    <cellStyle name="Heading 1 2 3 2" xfId="8932" xr:uid="{00000000-0005-0000-0000-0000E4220000}"/>
    <cellStyle name="Heading 1 2 3 2 2" xfId="8933" xr:uid="{00000000-0005-0000-0000-0000E5220000}"/>
    <cellStyle name="Heading 1 2 3 3" xfId="8934" xr:uid="{00000000-0005-0000-0000-0000E6220000}"/>
    <cellStyle name="Heading 1 2 3 3 2" xfId="8935" xr:uid="{00000000-0005-0000-0000-0000E7220000}"/>
    <cellStyle name="Heading 1 2 3 3 2 2" xfId="8936" xr:uid="{00000000-0005-0000-0000-0000E8220000}"/>
    <cellStyle name="Heading 1 2 3 3 3" xfId="8937" xr:uid="{00000000-0005-0000-0000-0000E9220000}"/>
    <cellStyle name="Heading 1 2 3 4" xfId="8938" xr:uid="{00000000-0005-0000-0000-0000EA220000}"/>
    <cellStyle name="Heading 1 2 4" xfId="8939" xr:uid="{00000000-0005-0000-0000-0000EB220000}"/>
    <cellStyle name="Heading 1 2 4 2" xfId="8940" xr:uid="{00000000-0005-0000-0000-0000EC220000}"/>
    <cellStyle name="Heading 1 2 4 2 2" xfId="8941" xr:uid="{00000000-0005-0000-0000-0000ED220000}"/>
    <cellStyle name="Heading 1 2 4 3" xfId="8942" xr:uid="{00000000-0005-0000-0000-0000EE220000}"/>
    <cellStyle name="Heading 1 2 5" xfId="8943" xr:uid="{00000000-0005-0000-0000-0000EF220000}"/>
    <cellStyle name="Heading 1 2 5 2" xfId="8944" xr:uid="{00000000-0005-0000-0000-0000F0220000}"/>
    <cellStyle name="Heading 1 2 5 2 2" xfId="8945" xr:uid="{00000000-0005-0000-0000-0000F1220000}"/>
    <cellStyle name="Heading 1 2 5 3" xfId="8946" xr:uid="{00000000-0005-0000-0000-0000F2220000}"/>
    <cellStyle name="Heading 1 2 5 3 2" xfId="8947" xr:uid="{00000000-0005-0000-0000-0000F3220000}"/>
    <cellStyle name="Heading 1 2 5 3 2 2" xfId="8948" xr:uid="{00000000-0005-0000-0000-0000F4220000}"/>
    <cellStyle name="Heading 1 2 5 3 3" xfId="8949" xr:uid="{00000000-0005-0000-0000-0000F5220000}"/>
    <cellStyle name="Heading 1 2 5 4" xfId="8950" xr:uid="{00000000-0005-0000-0000-0000F6220000}"/>
    <cellStyle name="Heading 1 2 6" xfId="8951" xr:uid="{00000000-0005-0000-0000-0000F7220000}"/>
    <cellStyle name="Heading 1 2 6 2" xfId="8952" xr:uid="{00000000-0005-0000-0000-0000F8220000}"/>
    <cellStyle name="Heading 1 2 7" xfId="8953" xr:uid="{00000000-0005-0000-0000-0000F9220000}"/>
    <cellStyle name="Heading 1 2 7 2" xfId="8954" xr:uid="{00000000-0005-0000-0000-0000FA220000}"/>
    <cellStyle name="Heading 1 2 8" xfId="8955" xr:uid="{00000000-0005-0000-0000-0000FB220000}"/>
    <cellStyle name="Heading 1 2 8 2" xfId="8956" xr:uid="{00000000-0005-0000-0000-0000FC220000}"/>
    <cellStyle name="Heading 1 2 8 2 2" xfId="8957" xr:uid="{00000000-0005-0000-0000-0000FD220000}"/>
    <cellStyle name="Heading 1 2 8 3" xfId="8958" xr:uid="{00000000-0005-0000-0000-0000FE220000}"/>
    <cellStyle name="Heading 1 2 9" xfId="8959" xr:uid="{00000000-0005-0000-0000-0000FF220000}"/>
    <cellStyle name="Heading 1 2 9 2" xfId="8960" xr:uid="{00000000-0005-0000-0000-000000230000}"/>
    <cellStyle name="Heading 1 2 9 2 2" xfId="8961" xr:uid="{00000000-0005-0000-0000-000001230000}"/>
    <cellStyle name="Heading 1 2 9 3" xfId="8962" xr:uid="{00000000-0005-0000-0000-000002230000}"/>
    <cellStyle name="Heading 1 3" xfId="8963" xr:uid="{00000000-0005-0000-0000-000003230000}"/>
    <cellStyle name="Heading 1 3 2" xfId="8964" xr:uid="{00000000-0005-0000-0000-000004230000}"/>
    <cellStyle name="Heading 1 3 2 2" xfId="8965" xr:uid="{00000000-0005-0000-0000-000005230000}"/>
    <cellStyle name="Heading 1 3 3" xfId="8966" xr:uid="{00000000-0005-0000-0000-000006230000}"/>
    <cellStyle name="Heading 1 3 3 2" xfId="8967" xr:uid="{00000000-0005-0000-0000-000007230000}"/>
    <cellStyle name="Heading 1 3 4" xfId="8968" xr:uid="{00000000-0005-0000-0000-000008230000}"/>
    <cellStyle name="Heading 1 3 4 2" xfId="8969" xr:uid="{00000000-0005-0000-0000-000009230000}"/>
    <cellStyle name="Heading 1 3 4 2 2" xfId="8970" xr:uid="{00000000-0005-0000-0000-00000A230000}"/>
    <cellStyle name="Heading 1 3 4 3" xfId="8971" xr:uid="{00000000-0005-0000-0000-00000B230000}"/>
    <cellStyle name="Heading 1 3 5" xfId="8972" xr:uid="{00000000-0005-0000-0000-00000C230000}"/>
    <cellStyle name="Heading 1 4" xfId="8973" xr:uid="{00000000-0005-0000-0000-00000D230000}"/>
    <cellStyle name="Heading 1 4 2" xfId="8974" xr:uid="{00000000-0005-0000-0000-00000E230000}"/>
    <cellStyle name="Heading 1 4 2 2" xfId="8975" xr:uid="{00000000-0005-0000-0000-00000F230000}"/>
    <cellStyle name="Heading 1 4 3" xfId="8976" xr:uid="{00000000-0005-0000-0000-000010230000}"/>
    <cellStyle name="Heading 1 4 3 2" xfId="8977" xr:uid="{00000000-0005-0000-0000-000011230000}"/>
    <cellStyle name="Heading 1 4 3 2 2" xfId="8978" xr:uid="{00000000-0005-0000-0000-000012230000}"/>
    <cellStyle name="Heading 1 4 3 3" xfId="8979" xr:uid="{00000000-0005-0000-0000-000013230000}"/>
    <cellStyle name="Heading 1 4 4" xfId="8980" xr:uid="{00000000-0005-0000-0000-000014230000}"/>
    <cellStyle name="Heading 1 5" xfId="8981" xr:uid="{00000000-0005-0000-0000-000015230000}"/>
    <cellStyle name="Heading 1 5 2" xfId="8982" xr:uid="{00000000-0005-0000-0000-000016230000}"/>
    <cellStyle name="Heading 1 5 2 2" xfId="8983" xr:uid="{00000000-0005-0000-0000-000017230000}"/>
    <cellStyle name="Heading 1 5 3" xfId="8984" xr:uid="{00000000-0005-0000-0000-000018230000}"/>
    <cellStyle name="Heading 1 5 3 2" xfId="8985" xr:uid="{00000000-0005-0000-0000-000019230000}"/>
    <cellStyle name="Heading 1 5 3 2 2" xfId="8986" xr:uid="{00000000-0005-0000-0000-00001A230000}"/>
    <cellStyle name="Heading 1 5 3 3" xfId="8987" xr:uid="{00000000-0005-0000-0000-00001B230000}"/>
    <cellStyle name="Heading 1 5 4" xfId="8988" xr:uid="{00000000-0005-0000-0000-00001C230000}"/>
    <cellStyle name="Heading 1 6" xfId="8989" xr:uid="{00000000-0005-0000-0000-00001D230000}"/>
    <cellStyle name="Heading 1 6 2" xfId="8990" xr:uid="{00000000-0005-0000-0000-00001E230000}"/>
    <cellStyle name="Heading 1 6 2 2" xfId="8991" xr:uid="{00000000-0005-0000-0000-00001F230000}"/>
    <cellStyle name="Heading 1 6 3" xfId="8992" xr:uid="{00000000-0005-0000-0000-000020230000}"/>
    <cellStyle name="Heading 1 7" xfId="8993" xr:uid="{00000000-0005-0000-0000-000021230000}"/>
    <cellStyle name="Heading 1 7 2" xfId="8994" xr:uid="{00000000-0005-0000-0000-000022230000}"/>
    <cellStyle name="Heading 1 8" xfId="8995" xr:uid="{00000000-0005-0000-0000-000023230000}"/>
    <cellStyle name="Heading 1 9" xfId="8996" xr:uid="{00000000-0005-0000-0000-000024230000}"/>
    <cellStyle name="Heading 2 2" xfId="8997" xr:uid="{00000000-0005-0000-0000-000025230000}"/>
    <cellStyle name="Heading 2 2 10" xfId="8998" xr:uid="{00000000-0005-0000-0000-000026230000}"/>
    <cellStyle name="Heading 2 2 10 2" xfId="8999" xr:uid="{00000000-0005-0000-0000-000027230000}"/>
    <cellStyle name="Heading 2 2 11" xfId="9000" xr:uid="{00000000-0005-0000-0000-000028230000}"/>
    <cellStyle name="Heading 2 2 12" xfId="9001" xr:uid="{00000000-0005-0000-0000-000029230000}"/>
    <cellStyle name="Heading 2 2 2" xfId="9002" xr:uid="{00000000-0005-0000-0000-00002A230000}"/>
    <cellStyle name="Heading 2 2 2 2" xfId="9003" xr:uid="{00000000-0005-0000-0000-00002B230000}"/>
    <cellStyle name="Heading 2 2 2 2 2" xfId="9004" xr:uid="{00000000-0005-0000-0000-00002C230000}"/>
    <cellStyle name="Heading 2 2 2 3" xfId="9005" xr:uid="{00000000-0005-0000-0000-00002D230000}"/>
    <cellStyle name="Heading 2 2 2 3 2" xfId="9006" xr:uid="{00000000-0005-0000-0000-00002E230000}"/>
    <cellStyle name="Heading 2 2 2 3 2 2" xfId="9007" xr:uid="{00000000-0005-0000-0000-00002F230000}"/>
    <cellStyle name="Heading 2 2 2 3 3" xfId="9008" xr:uid="{00000000-0005-0000-0000-000030230000}"/>
    <cellStyle name="Heading 2 2 2 4" xfId="9009" xr:uid="{00000000-0005-0000-0000-000031230000}"/>
    <cellStyle name="Heading 2 2 3" xfId="9010" xr:uid="{00000000-0005-0000-0000-000032230000}"/>
    <cellStyle name="Heading 2 2 3 2" xfId="9011" xr:uid="{00000000-0005-0000-0000-000033230000}"/>
    <cellStyle name="Heading 2 2 3 2 2" xfId="9012" xr:uid="{00000000-0005-0000-0000-000034230000}"/>
    <cellStyle name="Heading 2 2 3 3" xfId="9013" xr:uid="{00000000-0005-0000-0000-000035230000}"/>
    <cellStyle name="Heading 2 2 3 3 2" xfId="9014" xr:uid="{00000000-0005-0000-0000-000036230000}"/>
    <cellStyle name="Heading 2 2 3 3 2 2" xfId="9015" xr:uid="{00000000-0005-0000-0000-000037230000}"/>
    <cellStyle name="Heading 2 2 3 3 3" xfId="9016" xr:uid="{00000000-0005-0000-0000-000038230000}"/>
    <cellStyle name="Heading 2 2 3 4" xfId="9017" xr:uid="{00000000-0005-0000-0000-000039230000}"/>
    <cellStyle name="Heading 2 2 4" xfId="9018" xr:uid="{00000000-0005-0000-0000-00003A230000}"/>
    <cellStyle name="Heading 2 2 4 2" xfId="9019" xr:uid="{00000000-0005-0000-0000-00003B230000}"/>
    <cellStyle name="Heading 2 2 4 2 2" xfId="9020" xr:uid="{00000000-0005-0000-0000-00003C230000}"/>
    <cellStyle name="Heading 2 2 4 3" xfId="9021" xr:uid="{00000000-0005-0000-0000-00003D230000}"/>
    <cellStyle name="Heading 2 2 5" xfId="9022" xr:uid="{00000000-0005-0000-0000-00003E230000}"/>
    <cellStyle name="Heading 2 2 5 2" xfId="9023" xr:uid="{00000000-0005-0000-0000-00003F230000}"/>
    <cellStyle name="Heading 2 2 5 2 2" xfId="9024" xr:uid="{00000000-0005-0000-0000-000040230000}"/>
    <cellStyle name="Heading 2 2 5 3" xfId="9025" xr:uid="{00000000-0005-0000-0000-000041230000}"/>
    <cellStyle name="Heading 2 2 5 3 2" xfId="9026" xr:uid="{00000000-0005-0000-0000-000042230000}"/>
    <cellStyle name="Heading 2 2 5 3 2 2" xfId="9027" xr:uid="{00000000-0005-0000-0000-000043230000}"/>
    <cellStyle name="Heading 2 2 5 3 3" xfId="9028" xr:uid="{00000000-0005-0000-0000-000044230000}"/>
    <cellStyle name="Heading 2 2 5 4" xfId="9029" xr:uid="{00000000-0005-0000-0000-000045230000}"/>
    <cellStyle name="Heading 2 2 6" xfId="9030" xr:uid="{00000000-0005-0000-0000-000046230000}"/>
    <cellStyle name="Heading 2 2 6 2" xfId="9031" xr:uid="{00000000-0005-0000-0000-000047230000}"/>
    <cellStyle name="Heading 2 2 6 2 2" xfId="9032" xr:uid="{00000000-0005-0000-0000-000048230000}"/>
    <cellStyle name="Heading 2 2 6 3" xfId="9033" xr:uid="{00000000-0005-0000-0000-000049230000}"/>
    <cellStyle name="Heading 2 2 6 3 2" xfId="9034" xr:uid="{00000000-0005-0000-0000-00004A230000}"/>
    <cellStyle name="Heading 2 2 6 4" xfId="9035" xr:uid="{00000000-0005-0000-0000-00004B230000}"/>
    <cellStyle name="Heading 2 2 7" xfId="9036" xr:uid="{00000000-0005-0000-0000-00004C230000}"/>
    <cellStyle name="Heading 2 2 7 2" xfId="9037" xr:uid="{00000000-0005-0000-0000-00004D230000}"/>
    <cellStyle name="Heading 2 2 8" xfId="9038" xr:uid="{00000000-0005-0000-0000-00004E230000}"/>
    <cellStyle name="Heading 2 2 8 2" xfId="9039" xr:uid="{00000000-0005-0000-0000-00004F230000}"/>
    <cellStyle name="Heading 2 2 8 2 2" xfId="9040" xr:uid="{00000000-0005-0000-0000-000050230000}"/>
    <cellStyle name="Heading 2 2 8 3" xfId="9041" xr:uid="{00000000-0005-0000-0000-000051230000}"/>
    <cellStyle name="Heading 2 2 9" xfId="9042" xr:uid="{00000000-0005-0000-0000-000052230000}"/>
    <cellStyle name="Heading 2 2 9 2" xfId="9043" xr:uid="{00000000-0005-0000-0000-000053230000}"/>
    <cellStyle name="Heading 2 2 9 2 2" xfId="9044" xr:uid="{00000000-0005-0000-0000-000054230000}"/>
    <cellStyle name="Heading 2 2 9 3" xfId="9045" xr:uid="{00000000-0005-0000-0000-000055230000}"/>
    <cellStyle name="Heading 2 3" xfId="9046" xr:uid="{00000000-0005-0000-0000-000056230000}"/>
    <cellStyle name="Heading 2 3 2" xfId="9047" xr:uid="{00000000-0005-0000-0000-000057230000}"/>
    <cellStyle name="Heading 2 3 2 2" xfId="9048" xr:uid="{00000000-0005-0000-0000-000058230000}"/>
    <cellStyle name="Heading 2 3 3" xfId="9049" xr:uid="{00000000-0005-0000-0000-000059230000}"/>
    <cellStyle name="Heading 2 3 3 2" xfId="9050" xr:uid="{00000000-0005-0000-0000-00005A230000}"/>
    <cellStyle name="Heading 2 3 4" xfId="9051" xr:uid="{00000000-0005-0000-0000-00005B230000}"/>
    <cellStyle name="Heading 2 3 4 2" xfId="9052" xr:uid="{00000000-0005-0000-0000-00005C230000}"/>
    <cellStyle name="Heading 2 3 4 2 2" xfId="9053" xr:uid="{00000000-0005-0000-0000-00005D230000}"/>
    <cellStyle name="Heading 2 3 4 3" xfId="9054" xr:uid="{00000000-0005-0000-0000-00005E230000}"/>
    <cellStyle name="Heading 2 3 5" xfId="9055" xr:uid="{00000000-0005-0000-0000-00005F230000}"/>
    <cellStyle name="Heading 2 4" xfId="9056" xr:uid="{00000000-0005-0000-0000-000060230000}"/>
    <cellStyle name="Heading 2 4 2" xfId="9057" xr:uid="{00000000-0005-0000-0000-000061230000}"/>
    <cellStyle name="Heading 2 4 2 2" xfId="9058" xr:uid="{00000000-0005-0000-0000-000062230000}"/>
    <cellStyle name="Heading 2 4 3" xfId="9059" xr:uid="{00000000-0005-0000-0000-000063230000}"/>
    <cellStyle name="Heading 2 4 3 2" xfId="9060" xr:uid="{00000000-0005-0000-0000-000064230000}"/>
    <cellStyle name="Heading 2 4 3 2 2" xfId="9061" xr:uid="{00000000-0005-0000-0000-000065230000}"/>
    <cellStyle name="Heading 2 4 3 3" xfId="9062" xr:uid="{00000000-0005-0000-0000-000066230000}"/>
    <cellStyle name="Heading 2 4 4" xfId="9063" xr:uid="{00000000-0005-0000-0000-000067230000}"/>
    <cellStyle name="Heading 2 5" xfId="9064" xr:uid="{00000000-0005-0000-0000-000068230000}"/>
    <cellStyle name="Heading 2 5 2" xfId="9065" xr:uid="{00000000-0005-0000-0000-000069230000}"/>
    <cellStyle name="Heading 2 5 2 2" xfId="9066" xr:uid="{00000000-0005-0000-0000-00006A230000}"/>
    <cellStyle name="Heading 2 5 3" xfId="9067" xr:uid="{00000000-0005-0000-0000-00006B230000}"/>
    <cellStyle name="Heading 2 5 3 2" xfId="9068" xr:uid="{00000000-0005-0000-0000-00006C230000}"/>
    <cellStyle name="Heading 2 5 3 2 2" xfId="9069" xr:uid="{00000000-0005-0000-0000-00006D230000}"/>
    <cellStyle name="Heading 2 5 3 3" xfId="9070" xr:uid="{00000000-0005-0000-0000-00006E230000}"/>
    <cellStyle name="Heading 2 5 4" xfId="9071" xr:uid="{00000000-0005-0000-0000-00006F230000}"/>
    <cellStyle name="Heading 2 6" xfId="9072" xr:uid="{00000000-0005-0000-0000-000070230000}"/>
    <cellStyle name="Heading 2 6 2" xfId="9073" xr:uid="{00000000-0005-0000-0000-000071230000}"/>
    <cellStyle name="Heading 2 6 2 2" xfId="9074" xr:uid="{00000000-0005-0000-0000-000072230000}"/>
    <cellStyle name="Heading 2 6 3" xfId="9075" xr:uid="{00000000-0005-0000-0000-000073230000}"/>
    <cellStyle name="Heading 2 7" xfId="9076" xr:uid="{00000000-0005-0000-0000-000074230000}"/>
    <cellStyle name="Heading 2 7 2" xfId="9077" xr:uid="{00000000-0005-0000-0000-000075230000}"/>
    <cellStyle name="Heading 2 8" xfId="9078" xr:uid="{00000000-0005-0000-0000-000076230000}"/>
    <cellStyle name="Heading 2 9" xfId="9079" xr:uid="{00000000-0005-0000-0000-000077230000}"/>
    <cellStyle name="Heading 3 2" xfId="9080" xr:uid="{00000000-0005-0000-0000-000078230000}"/>
    <cellStyle name="Heading 3 2 10" xfId="9081" xr:uid="{00000000-0005-0000-0000-000079230000}"/>
    <cellStyle name="Heading 3 2 10 2" xfId="9082" xr:uid="{00000000-0005-0000-0000-00007A230000}"/>
    <cellStyle name="Heading 3 2 11" xfId="9083" xr:uid="{00000000-0005-0000-0000-00007B230000}"/>
    <cellStyle name="Heading 3 2 12" xfId="9084" xr:uid="{00000000-0005-0000-0000-00007C230000}"/>
    <cellStyle name="Heading 3 2 2" xfId="9085" xr:uid="{00000000-0005-0000-0000-00007D230000}"/>
    <cellStyle name="Heading 3 2 2 2" xfId="9086" xr:uid="{00000000-0005-0000-0000-00007E230000}"/>
    <cellStyle name="Heading 3 2 2 2 2" xfId="9087" xr:uid="{00000000-0005-0000-0000-00007F230000}"/>
    <cellStyle name="Heading 3 2 2 3" xfId="9088" xr:uid="{00000000-0005-0000-0000-000080230000}"/>
    <cellStyle name="Heading 3 2 2 3 2" xfId="9089" xr:uid="{00000000-0005-0000-0000-000081230000}"/>
    <cellStyle name="Heading 3 2 2 3 2 2" xfId="9090" xr:uid="{00000000-0005-0000-0000-000082230000}"/>
    <cellStyle name="Heading 3 2 2 3 3" xfId="9091" xr:uid="{00000000-0005-0000-0000-000083230000}"/>
    <cellStyle name="Heading 3 2 2 4" xfId="9092" xr:uid="{00000000-0005-0000-0000-000084230000}"/>
    <cellStyle name="Heading 3 2 3" xfId="9093" xr:uid="{00000000-0005-0000-0000-000085230000}"/>
    <cellStyle name="Heading 3 2 3 2" xfId="9094" xr:uid="{00000000-0005-0000-0000-000086230000}"/>
    <cellStyle name="Heading 3 2 3 2 2" xfId="9095" xr:uid="{00000000-0005-0000-0000-000087230000}"/>
    <cellStyle name="Heading 3 2 3 3" xfId="9096" xr:uid="{00000000-0005-0000-0000-000088230000}"/>
    <cellStyle name="Heading 3 2 3 3 2" xfId="9097" xr:uid="{00000000-0005-0000-0000-000089230000}"/>
    <cellStyle name="Heading 3 2 3 3 2 2" xfId="9098" xr:uid="{00000000-0005-0000-0000-00008A230000}"/>
    <cellStyle name="Heading 3 2 3 3 3" xfId="9099" xr:uid="{00000000-0005-0000-0000-00008B230000}"/>
    <cellStyle name="Heading 3 2 3 4" xfId="9100" xr:uid="{00000000-0005-0000-0000-00008C230000}"/>
    <cellStyle name="Heading 3 2 4" xfId="9101" xr:uid="{00000000-0005-0000-0000-00008D230000}"/>
    <cellStyle name="Heading 3 2 4 2" xfId="9102" xr:uid="{00000000-0005-0000-0000-00008E230000}"/>
    <cellStyle name="Heading 3 2 4 2 2" xfId="9103" xr:uid="{00000000-0005-0000-0000-00008F230000}"/>
    <cellStyle name="Heading 3 2 4 3" xfId="9104" xr:uid="{00000000-0005-0000-0000-000090230000}"/>
    <cellStyle name="Heading 3 2 5" xfId="9105" xr:uid="{00000000-0005-0000-0000-000091230000}"/>
    <cellStyle name="Heading 3 2 5 2" xfId="9106" xr:uid="{00000000-0005-0000-0000-000092230000}"/>
    <cellStyle name="Heading 3 2 5 2 2" xfId="9107" xr:uid="{00000000-0005-0000-0000-000093230000}"/>
    <cellStyle name="Heading 3 2 5 3" xfId="9108" xr:uid="{00000000-0005-0000-0000-000094230000}"/>
    <cellStyle name="Heading 3 2 5 3 2" xfId="9109" xr:uid="{00000000-0005-0000-0000-000095230000}"/>
    <cellStyle name="Heading 3 2 5 3 2 2" xfId="9110" xr:uid="{00000000-0005-0000-0000-000096230000}"/>
    <cellStyle name="Heading 3 2 5 3 3" xfId="9111" xr:uid="{00000000-0005-0000-0000-000097230000}"/>
    <cellStyle name="Heading 3 2 5 4" xfId="9112" xr:uid="{00000000-0005-0000-0000-000098230000}"/>
    <cellStyle name="Heading 3 2 6" xfId="9113" xr:uid="{00000000-0005-0000-0000-000099230000}"/>
    <cellStyle name="Heading 3 2 6 2" xfId="9114" xr:uid="{00000000-0005-0000-0000-00009A230000}"/>
    <cellStyle name="Heading 3 2 6 2 2" xfId="9115" xr:uid="{00000000-0005-0000-0000-00009B230000}"/>
    <cellStyle name="Heading 3 2 6 3" xfId="9116" xr:uid="{00000000-0005-0000-0000-00009C230000}"/>
    <cellStyle name="Heading 3 2 6 3 2" xfId="9117" xr:uid="{00000000-0005-0000-0000-00009D230000}"/>
    <cellStyle name="Heading 3 2 6 4" xfId="9118" xr:uid="{00000000-0005-0000-0000-00009E230000}"/>
    <cellStyle name="Heading 3 2 7" xfId="9119" xr:uid="{00000000-0005-0000-0000-00009F230000}"/>
    <cellStyle name="Heading 3 2 7 2" xfId="9120" xr:uid="{00000000-0005-0000-0000-0000A0230000}"/>
    <cellStyle name="Heading 3 2 8" xfId="9121" xr:uid="{00000000-0005-0000-0000-0000A1230000}"/>
    <cellStyle name="Heading 3 2 8 2" xfId="9122" xr:uid="{00000000-0005-0000-0000-0000A2230000}"/>
    <cellStyle name="Heading 3 2 8 2 2" xfId="9123" xr:uid="{00000000-0005-0000-0000-0000A3230000}"/>
    <cellStyle name="Heading 3 2 8 3" xfId="9124" xr:uid="{00000000-0005-0000-0000-0000A4230000}"/>
    <cellStyle name="Heading 3 2 9" xfId="9125" xr:uid="{00000000-0005-0000-0000-0000A5230000}"/>
    <cellStyle name="Heading 3 2 9 2" xfId="9126" xr:uid="{00000000-0005-0000-0000-0000A6230000}"/>
    <cellStyle name="Heading 3 2 9 2 2" xfId="9127" xr:uid="{00000000-0005-0000-0000-0000A7230000}"/>
    <cellStyle name="Heading 3 2 9 3" xfId="9128" xr:uid="{00000000-0005-0000-0000-0000A8230000}"/>
    <cellStyle name="Heading 3 3" xfId="9129" xr:uid="{00000000-0005-0000-0000-0000A9230000}"/>
    <cellStyle name="Heading 3 3 2" xfId="9130" xr:uid="{00000000-0005-0000-0000-0000AA230000}"/>
    <cellStyle name="Heading 3 3 2 2" xfId="9131" xr:uid="{00000000-0005-0000-0000-0000AB230000}"/>
    <cellStyle name="Heading 3 3 3" xfId="9132" xr:uid="{00000000-0005-0000-0000-0000AC230000}"/>
    <cellStyle name="Heading 3 3 3 2" xfId="9133" xr:uid="{00000000-0005-0000-0000-0000AD230000}"/>
    <cellStyle name="Heading 3 3 4" xfId="9134" xr:uid="{00000000-0005-0000-0000-0000AE230000}"/>
    <cellStyle name="Heading 3 3 4 2" xfId="9135" xr:uid="{00000000-0005-0000-0000-0000AF230000}"/>
    <cellStyle name="Heading 3 3 4 2 2" xfId="9136" xr:uid="{00000000-0005-0000-0000-0000B0230000}"/>
    <cellStyle name="Heading 3 3 4 3" xfId="9137" xr:uid="{00000000-0005-0000-0000-0000B1230000}"/>
    <cellStyle name="Heading 3 3 5" xfId="9138" xr:uid="{00000000-0005-0000-0000-0000B2230000}"/>
    <cellStyle name="Heading 3 4" xfId="9139" xr:uid="{00000000-0005-0000-0000-0000B3230000}"/>
    <cellStyle name="Heading 3 4 2" xfId="9140" xr:uid="{00000000-0005-0000-0000-0000B4230000}"/>
    <cellStyle name="Heading 3 4 2 2" xfId="9141" xr:uid="{00000000-0005-0000-0000-0000B5230000}"/>
    <cellStyle name="Heading 3 4 3" xfId="9142" xr:uid="{00000000-0005-0000-0000-0000B6230000}"/>
    <cellStyle name="Heading 3 4 3 2" xfId="9143" xr:uid="{00000000-0005-0000-0000-0000B7230000}"/>
    <cellStyle name="Heading 3 4 3 2 2" xfId="9144" xr:uid="{00000000-0005-0000-0000-0000B8230000}"/>
    <cellStyle name="Heading 3 4 3 3" xfId="9145" xr:uid="{00000000-0005-0000-0000-0000B9230000}"/>
    <cellStyle name="Heading 3 4 4" xfId="9146" xr:uid="{00000000-0005-0000-0000-0000BA230000}"/>
    <cellStyle name="Heading 3 5" xfId="9147" xr:uid="{00000000-0005-0000-0000-0000BB230000}"/>
    <cellStyle name="Heading 3 5 2" xfId="9148" xr:uid="{00000000-0005-0000-0000-0000BC230000}"/>
    <cellStyle name="Heading 3 5 2 2" xfId="9149" xr:uid="{00000000-0005-0000-0000-0000BD230000}"/>
    <cellStyle name="Heading 3 5 3" xfId="9150" xr:uid="{00000000-0005-0000-0000-0000BE230000}"/>
    <cellStyle name="Heading 3 5 3 2" xfId="9151" xr:uid="{00000000-0005-0000-0000-0000BF230000}"/>
    <cellStyle name="Heading 3 5 3 2 2" xfId="9152" xr:uid="{00000000-0005-0000-0000-0000C0230000}"/>
    <cellStyle name="Heading 3 5 3 3" xfId="9153" xr:uid="{00000000-0005-0000-0000-0000C1230000}"/>
    <cellStyle name="Heading 3 5 4" xfId="9154" xr:uid="{00000000-0005-0000-0000-0000C2230000}"/>
    <cellStyle name="Heading 3 6" xfId="9155" xr:uid="{00000000-0005-0000-0000-0000C3230000}"/>
    <cellStyle name="Heading 3 6 2" xfId="9156" xr:uid="{00000000-0005-0000-0000-0000C4230000}"/>
    <cellStyle name="Heading 3 6 2 2" xfId="9157" xr:uid="{00000000-0005-0000-0000-0000C5230000}"/>
    <cellStyle name="Heading 3 6 3" xfId="9158" xr:uid="{00000000-0005-0000-0000-0000C6230000}"/>
    <cellStyle name="Heading 3 7" xfId="9159" xr:uid="{00000000-0005-0000-0000-0000C7230000}"/>
    <cellStyle name="Heading 3 7 2" xfId="9160" xr:uid="{00000000-0005-0000-0000-0000C8230000}"/>
    <cellStyle name="Heading 3 8" xfId="9161" xr:uid="{00000000-0005-0000-0000-0000C9230000}"/>
    <cellStyle name="Heading 3 9" xfId="9162" xr:uid="{00000000-0005-0000-0000-0000CA230000}"/>
    <cellStyle name="Heading 4 2" xfId="9163" xr:uid="{00000000-0005-0000-0000-0000CB230000}"/>
    <cellStyle name="Heading 4 2 10" xfId="9164" xr:uid="{00000000-0005-0000-0000-0000CC230000}"/>
    <cellStyle name="Heading 4 2 10 2" xfId="9165" xr:uid="{00000000-0005-0000-0000-0000CD230000}"/>
    <cellStyle name="Heading 4 2 11" xfId="9166" xr:uid="{00000000-0005-0000-0000-0000CE230000}"/>
    <cellStyle name="Heading 4 2 12" xfId="9167" xr:uid="{00000000-0005-0000-0000-0000CF230000}"/>
    <cellStyle name="Heading 4 2 2" xfId="9168" xr:uid="{00000000-0005-0000-0000-0000D0230000}"/>
    <cellStyle name="Heading 4 2 2 2" xfId="9169" xr:uid="{00000000-0005-0000-0000-0000D1230000}"/>
    <cellStyle name="Heading 4 2 2 2 2" xfId="9170" xr:uid="{00000000-0005-0000-0000-0000D2230000}"/>
    <cellStyle name="Heading 4 2 2 3" xfId="9171" xr:uid="{00000000-0005-0000-0000-0000D3230000}"/>
    <cellStyle name="Heading 4 2 2 3 2" xfId="9172" xr:uid="{00000000-0005-0000-0000-0000D4230000}"/>
    <cellStyle name="Heading 4 2 2 3 2 2" xfId="9173" xr:uid="{00000000-0005-0000-0000-0000D5230000}"/>
    <cellStyle name="Heading 4 2 2 3 3" xfId="9174" xr:uid="{00000000-0005-0000-0000-0000D6230000}"/>
    <cellStyle name="Heading 4 2 2 4" xfId="9175" xr:uid="{00000000-0005-0000-0000-0000D7230000}"/>
    <cellStyle name="Heading 4 2 3" xfId="9176" xr:uid="{00000000-0005-0000-0000-0000D8230000}"/>
    <cellStyle name="Heading 4 2 3 2" xfId="9177" xr:uid="{00000000-0005-0000-0000-0000D9230000}"/>
    <cellStyle name="Heading 4 2 3 2 2" xfId="9178" xr:uid="{00000000-0005-0000-0000-0000DA230000}"/>
    <cellStyle name="Heading 4 2 3 3" xfId="9179" xr:uid="{00000000-0005-0000-0000-0000DB230000}"/>
    <cellStyle name="Heading 4 2 3 3 2" xfId="9180" xr:uid="{00000000-0005-0000-0000-0000DC230000}"/>
    <cellStyle name="Heading 4 2 3 3 2 2" xfId="9181" xr:uid="{00000000-0005-0000-0000-0000DD230000}"/>
    <cellStyle name="Heading 4 2 3 3 3" xfId="9182" xr:uid="{00000000-0005-0000-0000-0000DE230000}"/>
    <cellStyle name="Heading 4 2 3 4" xfId="9183" xr:uid="{00000000-0005-0000-0000-0000DF230000}"/>
    <cellStyle name="Heading 4 2 4" xfId="9184" xr:uid="{00000000-0005-0000-0000-0000E0230000}"/>
    <cellStyle name="Heading 4 2 4 2" xfId="9185" xr:uid="{00000000-0005-0000-0000-0000E1230000}"/>
    <cellStyle name="Heading 4 2 4 2 2" xfId="9186" xr:uid="{00000000-0005-0000-0000-0000E2230000}"/>
    <cellStyle name="Heading 4 2 4 3" xfId="9187" xr:uid="{00000000-0005-0000-0000-0000E3230000}"/>
    <cellStyle name="Heading 4 2 5" xfId="9188" xr:uid="{00000000-0005-0000-0000-0000E4230000}"/>
    <cellStyle name="Heading 4 2 5 2" xfId="9189" xr:uid="{00000000-0005-0000-0000-0000E5230000}"/>
    <cellStyle name="Heading 4 2 5 2 2" xfId="9190" xr:uid="{00000000-0005-0000-0000-0000E6230000}"/>
    <cellStyle name="Heading 4 2 5 3" xfId="9191" xr:uid="{00000000-0005-0000-0000-0000E7230000}"/>
    <cellStyle name="Heading 4 2 5 3 2" xfId="9192" xr:uid="{00000000-0005-0000-0000-0000E8230000}"/>
    <cellStyle name="Heading 4 2 5 3 2 2" xfId="9193" xr:uid="{00000000-0005-0000-0000-0000E9230000}"/>
    <cellStyle name="Heading 4 2 5 3 3" xfId="9194" xr:uid="{00000000-0005-0000-0000-0000EA230000}"/>
    <cellStyle name="Heading 4 2 5 4" xfId="9195" xr:uid="{00000000-0005-0000-0000-0000EB230000}"/>
    <cellStyle name="Heading 4 2 6" xfId="9196" xr:uid="{00000000-0005-0000-0000-0000EC230000}"/>
    <cellStyle name="Heading 4 2 6 2" xfId="9197" xr:uid="{00000000-0005-0000-0000-0000ED230000}"/>
    <cellStyle name="Heading 4 2 7" xfId="9198" xr:uid="{00000000-0005-0000-0000-0000EE230000}"/>
    <cellStyle name="Heading 4 2 7 2" xfId="9199" xr:uid="{00000000-0005-0000-0000-0000EF230000}"/>
    <cellStyle name="Heading 4 2 8" xfId="9200" xr:uid="{00000000-0005-0000-0000-0000F0230000}"/>
    <cellStyle name="Heading 4 2 8 2" xfId="9201" xr:uid="{00000000-0005-0000-0000-0000F1230000}"/>
    <cellStyle name="Heading 4 2 8 2 2" xfId="9202" xr:uid="{00000000-0005-0000-0000-0000F2230000}"/>
    <cellStyle name="Heading 4 2 8 3" xfId="9203" xr:uid="{00000000-0005-0000-0000-0000F3230000}"/>
    <cellStyle name="Heading 4 2 9" xfId="9204" xr:uid="{00000000-0005-0000-0000-0000F4230000}"/>
    <cellStyle name="Heading 4 2 9 2" xfId="9205" xr:uid="{00000000-0005-0000-0000-0000F5230000}"/>
    <cellStyle name="Heading 4 2 9 2 2" xfId="9206" xr:uid="{00000000-0005-0000-0000-0000F6230000}"/>
    <cellStyle name="Heading 4 2 9 3" xfId="9207" xr:uid="{00000000-0005-0000-0000-0000F7230000}"/>
    <cellStyle name="Heading 4 3" xfId="9208" xr:uid="{00000000-0005-0000-0000-0000F8230000}"/>
    <cellStyle name="Heading 4 3 2" xfId="9209" xr:uid="{00000000-0005-0000-0000-0000F9230000}"/>
    <cellStyle name="Heading 4 3 2 2" xfId="9210" xr:uid="{00000000-0005-0000-0000-0000FA230000}"/>
    <cellStyle name="Heading 4 3 3" xfId="9211" xr:uid="{00000000-0005-0000-0000-0000FB230000}"/>
    <cellStyle name="Heading 4 3 3 2" xfId="9212" xr:uid="{00000000-0005-0000-0000-0000FC230000}"/>
    <cellStyle name="Heading 4 3 4" xfId="9213" xr:uid="{00000000-0005-0000-0000-0000FD230000}"/>
    <cellStyle name="Heading 4 3 4 2" xfId="9214" xr:uid="{00000000-0005-0000-0000-0000FE230000}"/>
    <cellStyle name="Heading 4 3 4 2 2" xfId="9215" xr:uid="{00000000-0005-0000-0000-0000FF230000}"/>
    <cellStyle name="Heading 4 3 4 3" xfId="9216" xr:uid="{00000000-0005-0000-0000-000000240000}"/>
    <cellStyle name="Heading 4 3 5" xfId="9217" xr:uid="{00000000-0005-0000-0000-000001240000}"/>
    <cellStyle name="Heading 4 4" xfId="9218" xr:uid="{00000000-0005-0000-0000-000002240000}"/>
    <cellStyle name="Heading 4 4 2" xfId="9219" xr:uid="{00000000-0005-0000-0000-000003240000}"/>
    <cellStyle name="Heading 4 4 2 2" xfId="9220" xr:uid="{00000000-0005-0000-0000-000004240000}"/>
    <cellStyle name="Heading 4 4 3" xfId="9221" xr:uid="{00000000-0005-0000-0000-000005240000}"/>
    <cellStyle name="Heading 4 4 3 2" xfId="9222" xr:uid="{00000000-0005-0000-0000-000006240000}"/>
    <cellStyle name="Heading 4 4 3 2 2" xfId="9223" xr:uid="{00000000-0005-0000-0000-000007240000}"/>
    <cellStyle name="Heading 4 4 3 3" xfId="9224" xr:uid="{00000000-0005-0000-0000-000008240000}"/>
    <cellStyle name="Heading 4 4 4" xfId="9225" xr:uid="{00000000-0005-0000-0000-000009240000}"/>
    <cellStyle name="Heading 4 5" xfId="9226" xr:uid="{00000000-0005-0000-0000-00000A240000}"/>
    <cellStyle name="Heading 4 5 2" xfId="9227" xr:uid="{00000000-0005-0000-0000-00000B240000}"/>
    <cellStyle name="Heading 4 5 2 2" xfId="9228" xr:uid="{00000000-0005-0000-0000-00000C240000}"/>
    <cellStyle name="Heading 4 5 3" xfId="9229" xr:uid="{00000000-0005-0000-0000-00000D240000}"/>
    <cellStyle name="Heading 4 5 3 2" xfId="9230" xr:uid="{00000000-0005-0000-0000-00000E240000}"/>
    <cellStyle name="Heading 4 5 3 2 2" xfId="9231" xr:uid="{00000000-0005-0000-0000-00000F240000}"/>
    <cellStyle name="Heading 4 5 3 3" xfId="9232" xr:uid="{00000000-0005-0000-0000-000010240000}"/>
    <cellStyle name="Heading 4 5 4" xfId="9233" xr:uid="{00000000-0005-0000-0000-000011240000}"/>
    <cellStyle name="Heading 4 6" xfId="9234" xr:uid="{00000000-0005-0000-0000-000012240000}"/>
    <cellStyle name="Heading 4 6 2" xfId="9235" xr:uid="{00000000-0005-0000-0000-000013240000}"/>
    <cellStyle name="Heading 4 6 2 2" xfId="9236" xr:uid="{00000000-0005-0000-0000-000014240000}"/>
    <cellStyle name="Heading 4 6 3" xfId="9237" xr:uid="{00000000-0005-0000-0000-000015240000}"/>
    <cellStyle name="Heading 4 7" xfId="9238" xr:uid="{00000000-0005-0000-0000-000016240000}"/>
    <cellStyle name="Heading 4 7 2" xfId="9239" xr:uid="{00000000-0005-0000-0000-000017240000}"/>
    <cellStyle name="Heading 4 8" xfId="9240" xr:uid="{00000000-0005-0000-0000-000018240000}"/>
    <cellStyle name="Heading 4 9" xfId="9241" xr:uid="{00000000-0005-0000-0000-000019240000}"/>
    <cellStyle name="Heading1" xfId="9242" xr:uid="{00000000-0005-0000-0000-00001A240000}"/>
    <cellStyle name="Heading1 2" xfId="9243" xr:uid="{00000000-0005-0000-0000-00001B240000}"/>
    <cellStyle name="Heading1 2 2" xfId="9244" xr:uid="{00000000-0005-0000-0000-00001C240000}"/>
    <cellStyle name="Heading1 3" xfId="9245" xr:uid="{00000000-0005-0000-0000-00001D240000}"/>
    <cellStyle name="Heading1 3 2" xfId="9246" xr:uid="{00000000-0005-0000-0000-00001E240000}"/>
    <cellStyle name="Heading1 4" xfId="9247" xr:uid="{00000000-0005-0000-0000-00001F240000}"/>
    <cellStyle name="Heading1 5" xfId="9248" xr:uid="{00000000-0005-0000-0000-000020240000}"/>
    <cellStyle name="Heading2" xfId="9249" xr:uid="{00000000-0005-0000-0000-000021240000}"/>
    <cellStyle name="Heading2 2" xfId="9250" xr:uid="{00000000-0005-0000-0000-000022240000}"/>
    <cellStyle name="Heading2 2 2" xfId="9251" xr:uid="{00000000-0005-0000-0000-000023240000}"/>
    <cellStyle name="Heading2 3" xfId="9252" xr:uid="{00000000-0005-0000-0000-000024240000}"/>
    <cellStyle name="Heading2 3 2" xfId="9253" xr:uid="{00000000-0005-0000-0000-000025240000}"/>
    <cellStyle name="Heading2 4" xfId="9254" xr:uid="{00000000-0005-0000-0000-000026240000}"/>
    <cellStyle name="Heading2 5" xfId="9255" xr:uid="{00000000-0005-0000-0000-000027240000}"/>
    <cellStyle name="HEADINGS" xfId="9256" xr:uid="{00000000-0005-0000-0000-000028240000}"/>
    <cellStyle name="HEADINGS 2" xfId="9257" xr:uid="{00000000-0005-0000-0000-000029240000}"/>
    <cellStyle name="HEADINGS 2 2" xfId="9258" xr:uid="{00000000-0005-0000-0000-00002A240000}"/>
    <cellStyle name="HEADINGS 2 2 2" xfId="9259" xr:uid="{00000000-0005-0000-0000-00002B240000}"/>
    <cellStyle name="HEADINGS 2 3" xfId="9260" xr:uid="{00000000-0005-0000-0000-00002C240000}"/>
    <cellStyle name="HEADINGS 2 3 2" xfId="9261" xr:uid="{00000000-0005-0000-0000-00002D240000}"/>
    <cellStyle name="HEADINGS 2 3 2 2" xfId="9262" xr:uid="{00000000-0005-0000-0000-00002E240000}"/>
    <cellStyle name="HEADINGS 2 3 3" xfId="9263" xr:uid="{00000000-0005-0000-0000-00002F240000}"/>
    <cellStyle name="HEADINGS 2 4" xfId="9264" xr:uid="{00000000-0005-0000-0000-000030240000}"/>
    <cellStyle name="HEADINGS 3" xfId="9265" xr:uid="{00000000-0005-0000-0000-000031240000}"/>
    <cellStyle name="HEADINGS 3 2" xfId="9266" xr:uid="{00000000-0005-0000-0000-000032240000}"/>
    <cellStyle name="HEADINGS 3 2 2" xfId="9267" xr:uid="{00000000-0005-0000-0000-000033240000}"/>
    <cellStyle name="HEADINGS 3 3" xfId="9268" xr:uid="{00000000-0005-0000-0000-000034240000}"/>
    <cellStyle name="HEADINGS 4" xfId="9269" xr:uid="{00000000-0005-0000-0000-000035240000}"/>
    <cellStyle name="HEADINGS 4 2" xfId="9270" xr:uid="{00000000-0005-0000-0000-000036240000}"/>
    <cellStyle name="HEADINGS 4 2 2" xfId="9271" xr:uid="{00000000-0005-0000-0000-000037240000}"/>
    <cellStyle name="HEADINGS 4 3" xfId="9272" xr:uid="{00000000-0005-0000-0000-000038240000}"/>
    <cellStyle name="HEADINGS 5" xfId="9273" xr:uid="{00000000-0005-0000-0000-000039240000}"/>
    <cellStyle name="HEADINGS 5 2" xfId="9274" xr:uid="{00000000-0005-0000-0000-00003A240000}"/>
    <cellStyle name="HEADINGS 6" xfId="9275" xr:uid="{00000000-0005-0000-0000-00003B240000}"/>
    <cellStyle name="HEADINGS 6 2" xfId="9276" xr:uid="{00000000-0005-0000-0000-00003C240000}"/>
    <cellStyle name="HEADINGS 7" xfId="9277" xr:uid="{00000000-0005-0000-0000-00003D240000}"/>
    <cellStyle name="HEADINGSTOP" xfId="9278" xr:uid="{00000000-0005-0000-0000-00003E240000}"/>
    <cellStyle name="HEADINGSTOP 2" xfId="9279" xr:uid="{00000000-0005-0000-0000-00003F240000}"/>
    <cellStyle name="HEADINGSTOP 2 2" xfId="9280" xr:uid="{00000000-0005-0000-0000-000040240000}"/>
    <cellStyle name="HEADINGSTOP 2 2 2" xfId="9281" xr:uid="{00000000-0005-0000-0000-000041240000}"/>
    <cellStyle name="HEADINGSTOP 2 3" xfId="9282" xr:uid="{00000000-0005-0000-0000-000042240000}"/>
    <cellStyle name="HEADINGSTOP 2 3 2" xfId="9283" xr:uid="{00000000-0005-0000-0000-000043240000}"/>
    <cellStyle name="HEADINGSTOP 2 3 2 2" xfId="9284" xr:uid="{00000000-0005-0000-0000-000044240000}"/>
    <cellStyle name="HEADINGSTOP 2 3 3" xfId="9285" xr:uid="{00000000-0005-0000-0000-000045240000}"/>
    <cellStyle name="HEADINGSTOP 2 4" xfId="9286" xr:uid="{00000000-0005-0000-0000-000046240000}"/>
    <cellStyle name="HEADINGSTOP 3" xfId="9287" xr:uid="{00000000-0005-0000-0000-000047240000}"/>
    <cellStyle name="HEADINGSTOP 3 2" xfId="9288" xr:uid="{00000000-0005-0000-0000-000048240000}"/>
    <cellStyle name="HEADINGSTOP 3 2 2" xfId="9289" xr:uid="{00000000-0005-0000-0000-000049240000}"/>
    <cellStyle name="HEADINGSTOP 3 3" xfId="9290" xr:uid="{00000000-0005-0000-0000-00004A240000}"/>
    <cellStyle name="HEADINGSTOP 4" xfId="9291" xr:uid="{00000000-0005-0000-0000-00004B240000}"/>
    <cellStyle name="HEADINGSTOP 4 2" xfId="9292" xr:uid="{00000000-0005-0000-0000-00004C240000}"/>
    <cellStyle name="HEADINGSTOP 4 2 2" xfId="9293" xr:uid="{00000000-0005-0000-0000-00004D240000}"/>
    <cellStyle name="HEADINGSTOP 4 3" xfId="9294" xr:uid="{00000000-0005-0000-0000-00004E240000}"/>
    <cellStyle name="HEADINGSTOP 5" xfId="9295" xr:uid="{00000000-0005-0000-0000-00004F240000}"/>
    <cellStyle name="HEADINGSTOP 5 2" xfId="9296" xr:uid="{00000000-0005-0000-0000-000050240000}"/>
    <cellStyle name="HEADINGSTOP 6" xfId="9297" xr:uid="{00000000-0005-0000-0000-000051240000}"/>
    <cellStyle name="HEADINGSTOP 6 2" xfId="9298" xr:uid="{00000000-0005-0000-0000-000052240000}"/>
    <cellStyle name="HEADINGSTOP 7" xfId="9299" xr:uid="{00000000-0005-0000-0000-000053240000}"/>
    <cellStyle name="Helvetica 12" xfId="9300" xr:uid="{00000000-0005-0000-0000-000054240000}"/>
    <cellStyle name="Helvetica 12 2" xfId="9301" xr:uid="{00000000-0005-0000-0000-000055240000}"/>
    <cellStyle name="Helvetica 12 2 2" xfId="9302" xr:uid="{00000000-0005-0000-0000-000056240000}"/>
    <cellStyle name="Helvetica 12 2 2 2" xfId="9303" xr:uid="{00000000-0005-0000-0000-000057240000}"/>
    <cellStyle name="Helvetica 12 2 3" xfId="9304" xr:uid="{00000000-0005-0000-0000-000058240000}"/>
    <cellStyle name="Helvetica 12 2 3 2" xfId="9305" xr:uid="{00000000-0005-0000-0000-000059240000}"/>
    <cellStyle name="Helvetica 12 2 3 2 2" xfId="9306" xr:uid="{00000000-0005-0000-0000-00005A240000}"/>
    <cellStyle name="Helvetica 12 2 3 3" xfId="9307" xr:uid="{00000000-0005-0000-0000-00005B240000}"/>
    <cellStyle name="Helvetica 12 2 4" xfId="9308" xr:uid="{00000000-0005-0000-0000-00005C240000}"/>
    <cellStyle name="Helvetica 12 3" xfId="9309" xr:uid="{00000000-0005-0000-0000-00005D240000}"/>
    <cellStyle name="Helvetica 12 3 2" xfId="9310" xr:uid="{00000000-0005-0000-0000-00005E240000}"/>
    <cellStyle name="Helvetica 12 3 2 2" xfId="9311" xr:uid="{00000000-0005-0000-0000-00005F240000}"/>
    <cellStyle name="Helvetica 12 3 3" xfId="9312" xr:uid="{00000000-0005-0000-0000-000060240000}"/>
    <cellStyle name="Helvetica 12 4" xfId="9313" xr:uid="{00000000-0005-0000-0000-000061240000}"/>
    <cellStyle name="Helvetica 12 4 2" xfId="9314" xr:uid="{00000000-0005-0000-0000-000062240000}"/>
    <cellStyle name="Helvetica 12 5" xfId="9315" xr:uid="{00000000-0005-0000-0000-000063240000}"/>
    <cellStyle name="Helvetica 12 5 2" xfId="9316" xr:uid="{00000000-0005-0000-0000-000064240000}"/>
    <cellStyle name="Helvetica 12 6" xfId="9317" xr:uid="{00000000-0005-0000-0000-000065240000}"/>
    <cellStyle name="Hidden" xfId="9318" xr:uid="{00000000-0005-0000-0000-000066240000}"/>
    <cellStyle name="Hidden 2" xfId="9319" xr:uid="{00000000-0005-0000-0000-000067240000}"/>
    <cellStyle name="HIGHLIGHT" xfId="9320" xr:uid="{00000000-0005-0000-0000-000068240000}"/>
    <cellStyle name="HIGHLIGHT 2" xfId="9321" xr:uid="{00000000-0005-0000-0000-000069240000}"/>
    <cellStyle name="HIGHLIGHT 2 2" xfId="9322" xr:uid="{00000000-0005-0000-0000-00006A240000}"/>
    <cellStyle name="HIGHLIGHT 2 2 2" xfId="9323" xr:uid="{00000000-0005-0000-0000-00006B240000}"/>
    <cellStyle name="HIGHLIGHT 2 2 2 2" xfId="9324" xr:uid="{00000000-0005-0000-0000-00006C240000}"/>
    <cellStyle name="HIGHLIGHT 2 2 3" xfId="9325" xr:uid="{00000000-0005-0000-0000-00006D240000}"/>
    <cellStyle name="HIGHLIGHT 2 2 3 2" xfId="9326" xr:uid="{00000000-0005-0000-0000-00006E240000}"/>
    <cellStyle name="HIGHLIGHT 2 2 3 2 2" xfId="9327" xr:uid="{00000000-0005-0000-0000-00006F240000}"/>
    <cellStyle name="HIGHLIGHT 2 2 3 3" xfId="9328" xr:uid="{00000000-0005-0000-0000-000070240000}"/>
    <cellStyle name="HIGHLIGHT 2 2 4" xfId="9329" xr:uid="{00000000-0005-0000-0000-000071240000}"/>
    <cellStyle name="HIGHLIGHT 2 3" xfId="9330" xr:uid="{00000000-0005-0000-0000-000072240000}"/>
    <cellStyle name="HIGHLIGHT 2 3 2" xfId="9331" xr:uid="{00000000-0005-0000-0000-000073240000}"/>
    <cellStyle name="HIGHLIGHT 2 4" xfId="9332" xr:uid="{00000000-0005-0000-0000-000074240000}"/>
    <cellStyle name="HIGHLIGHT 3" xfId="9333" xr:uid="{00000000-0005-0000-0000-000075240000}"/>
    <cellStyle name="HIGHLIGHT 3 2" xfId="9334" xr:uid="{00000000-0005-0000-0000-000076240000}"/>
    <cellStyle name="HIGHLIGHT 4" xfId="9335" xr:uid="{00000000-0005-0000-0000-000077240000}"/>
    <cellStyle name="HIGHLIGHT 4 2" xfId="9336" xr:uid="{00000000-0005-0000-0000-000078240000}"/>
    <cellStyle name="HIGHLIGHT 5" xfId="9337" xr:uid="{00000000-0005-0000-0000-000079240000}"/>
    <cellStyle name="highlite" xfId="9338" xr:uid="{00000000-0005-0000-0000-00007A240000}"/>
    <cellStyle name="hilite" xfId="9339" xr:uid="{00000000-0005-0000-0000-00007B240000}"/>
    <cellStyle name="HITLITE" xfId="9340" xr:uid="{00000000-0005-0000-0000-00007C240000}"/>
    <cellStyle name="HITLITE 2" xfId="9341" xr:uid="{00000000-0005-0000-0000-00007D240000}"/>
    <cellStyle name="Hyperlink" xfId="31681" xr:uid="{00000000-0005-0000-0000-0000C17B0000}"/>
    <cellStyle name="Hyperlink 2" xfId="9342" xr:uid="{00000000-0005-0000-0000-00007E240000}"/>
    <cellStyle name="Initial Inputs" xfId="9343" xr:uid="{00000000-0005-0000-0000-00007F240000}"/>
    <cellStyle name="Initial Inputs 2" xfId="9344" xr:uid="{00000000-0005-0000-0000-000080240000}"/>
    <cellStyle name="Input [yellow]" xfId="9345" xr:uid="{00000000-0005-0000-0000-000081240000}"/>
    <cellStyle name="Input [yellow] 2" xfId="9346" xr:uid="{00000000-0005-0000-0000-000082240000}"/>
    <cellStyle name="Input 10" xfId="9347" xr:uid="{00000000-0005-0000-0000-000083240000}"/>
    <cellStyle name="Input 10 2" xfId="9348" xr:uid="{00000000-0005-0000-0000-000084240000}"/>
    <cellStyle name="Input 10 2 2" xfId="9349" xr:uid="{00000000-0005-0000-0000-000085240000}"/>
    <cellStyle name="Input 10 2 2 2" xfId="9350" xr:uid="{00000000-0005-0000-0000-000086240000}"/>
    <cellStyle name="Input 10 2 3" xfId="9351" xr:uid="{00000000-0005-0000-0000-000087240000}"/>
    <cellStyle name="Input 10 3" xfId="9352" xr:uid="{00000000-0005-0000-0000-000088240000}"/>
    <cellStyle name="Input 10 3 2" xfId="9353" xr:uid="{00000000-0005-0000-0000-000089240000}"/>
    <cellStyle name="Input 10 4" xfId="9354" xr:uid="{00000000-0005-0000-0000-00008A240000}"/>
    <cellStyle name="Input 100" xfId="9355" xr:uid="{00000000-0005-0000-0000-00008B240000}"/>
    <cellStyle name="Input 100 2" xfId="9356" xr:uid="{00000000-0005-0000-0000-00008C240000}"/>
    <cellStyle name="Input 100 2 2" xfId="9357" xr:uid="{00000000-0005-0000-0000-00008D240000}"/>
    <cellStyle name="Input 100 2 2 2" xfId="9358" xr:uid="{00000000-0005-0000-0000-00008E240000}"/>
    <cellStyle name="Input 100 2 3" xfId="9359" xr:uid="{00000000-0005-0000-0000-00008F240000}"/>
    <cellStyle name="Input 100 3" xfId="9360" xr:uid="{00000000-0005-0000-0000-000090240000}"/>
    <cellStyle name="Input 100 3 2" xfId="9361" xr:uid="{00000000-0005-0000-0000-000091240000}"/>
    <cellStyle name="Input 100 4" xfId="9362" xr:uid="{00000000-0005-0000-0000-000092240000}"/>
    <cellStyle name="Input 101" xfId="9363" xr:uid="{00000000-0005-0000-0000-000093240000}"/>
    <cellStyle name="Input 101 2" xfId="9364" xr:uid="{00000000-0005-0000-0000-000094240000}"/>
    <cellStyle name="Input 101 2 2" xfId="9365" xr:uid="{00000000-0005-0000-0000-000095240000}"/>
    <cellStyle name="Input 101 2 2 2" xfId="9366" xr:uid="{00000000-0005-0000-0000-000096240000}"/>
    <cellStyle name="Input 101 2 3" xfId="9367" xr:uid="{00000000-0005-0000-0000-000097240000}"/>
    <cellStyle name="Input 101 3" xfId="9368" xr:uid="{00000000-0005-0000-0000-000098240000}"/>
    <cellStyle name="Input 101 3 2" xfId="9369" xr:uid="{00000000-0005-0000-0000-000099240000}"/>
    <cellStyle name="Input 101 4" xfId="9370" xr:uid="{00000000-0005-0000-0000-00009A240000}"/>
    <cellStyle name="Input 102" xfId="9371" xr:uid="{00000000-0005-0000-0000-00009B240000}"/>
    <cellStyle name="Input 102 2" xfId="9372" xr:uid="{00000000-0005-0000-0000-00009C240000}"/>
    <cellStyle name="Input 102 2 2" xfId="9373" xr:uid="{00000000-0005-0000-0000-00009D240000}"/>
    <cellStyle name="Input 102 2 2 2" xfId="9374" xr:uid="{00000000-0005-0000-0000-00009E240000}"/>
    <cellStyle name="Input 102 2 2 2 2" xfId="9375" xr:uid="{00000000-0005-0000-0000-00009F240000}"/>
    <cellStyle name="Input 102 2 2 3" xfId="9376" xr:uid="{00000000-0005-0000-0000-0000A0240000}"/>
    <cellStyle name="Input 102 2 3" xfId="9377" xr:uid="{00000000-0005-0000-0000-0000A1240000}"/>
    <cellStyle name="Input 102 2 3 2" xfId="9378" xr:uid="{00000000-0005-0000-0000-0000A2240000}"/>
    <cellStyle name="Input 102 2 4" xfId="9379" xr:uid="{00000000-0005-0000-0000-0000A3240000}"/>
    <cellStyle name="Input 102 3" xfId="9380" xr:uid="{00000000-0005-0000-0000-0000A4240000}"/>
    <cellStyle name="Input 102 3 2" xfId="9381" xr:uid="{00000000-0005-0000-0000-0000A5240000}"/>
    <cellStyle name="Input 102 3 2 2" xfId="9382" xr:uid="{00000000-0005-0000-0000-0000A6240000}"/>
    <cellStyle name="Input 102 3 3" xfId="9383" xr:uid="{00000000-0005-0000-0000-0000A7240000}"/>
    <cellStyle name="Input 102 4" xfId="9384" xr:uid="{00000000-0005-0000-0000-0000A8240000}"/>
    <cellStyle name="Input 102 4 2" xfId="9385" xr:uid="{00000000-0005-0000-0000-0000A9240000}"/>
    <cellStyle name="Input 102 5" xfId="9386" xr:uid="{00000000-0005-0000-0000-0000AA240000}"/>
    <cellStyle name="Input 103" xfId="9387" xr:uid="{00000000-0005-0000-0000-0000AB240000}"/>
    <cellStyle name="Input 103 2" xfId="9388" xr:uid="{00000000-0005-0000-0000-0000AC240000}"/>
    <cellStyle name="Input 103 2 2" xfId="9389" xr:uid="{00000000-0005-0000-0000-0000AD240000}"/>
    <cellStyle name="Input 103 2 2 2" xfId="9390" xr:uid="{00000000-0005-0000-0000-0000AE240000}"/>
    <cellStyle name="Input 103 2 2 2 2" xfId="9391" xr:uid="{00000000-0005-0000-0000-0000AF240000}"/>
    <cellStyle name="Input 103 2 2 3" xfId="9392" xr:uid="{00000000-0005-0000-0000-0000B0240000}"/>
    <cellStyle name="Input 103 2 3" xfId="9393" xr:uid="{00000000-0005-0000-0000-0000B1240000}"/>
    <cellStyle name="Input 103 2 3 2" xfId="9394" xr:uid="{00000000-0005-0000-0000-0000B2240000}"/>
    <cellStyle name="Input 103 2 4" xfId="9395" xr:uid="{00000000-0005-0000-0000-0000B3240000}"/>
    <cellStyle name="Input 103 3" xfId="9396" xr:uid="{00000000-0005-0000-0000-0000B4240000}"/>
    <cellStyle name="Input 103 3 2" xfId="9397" xr:uid="{00000000-0005-0000-0000-0000B5240000}"/>
    <cellStyle name="Input 103 3 2 2" xfId="9398" xr:uid="{00000000-0005-0000-0000-0000B6240000}"/>
    <cellStyle name="Input 103 3 3" xfId="9399" xr:uid="{00000000-0005-0000-0000-0000B7240000}"/>
    <cellStyle name="Input 103 4" xfId="9400" xr:uid="{00000000-0005-0000-0000-0000B8240000}"/>
    <cellStyle name="Input 103 4 2" xfId="9401" xr:uid="{00000000-0005-0000-0000-0000B9240000}"/>
    <cellStyle name="Input 103 5" xfId="9402" xr:uid="{00000000-0005-0000-0000-0000BA240000}"/>
    <cellStyle name="Input 104" xfId="9403" xr:uid="{00000000-0005-0000-0000-0000BB240000}"/>
    <cellStyle name="Input 104 2" xfId="9404" xr:uid="{00000000-0005-0000-0000-0000BC240000}"/>
    <cellStyle name="Input 104 2 2" xfId="9405" xr:uid="{00000000-0005-0000-0000-0000BD240000}"/>
    <cellStyle name="Input 104 2 2 2" xfId="9406" xr:uid="{00000000-0005-0000-0000-0000BE240000}"/>
    <cellStyle name="Input 104 2 2 2 2" xfId="9407" xr:uid="{00000000-0005-0000-0000-0000BF240000}"/>
    <cellStyle name="Input 104 2 2 2 2 2" xfId="9408" xr:uid="{00000000-0005-0000-0000-0000C0240000}"/>
    <cellStyle name="Input 104 2 2 2 3" xfId="9409" xr:uid="{00000000-0005-0000-0000-0000C1240000}"/>
    <cellStyle name="Input 104 2 2 3" xfId="9410" xr:uid="{00000000-0005-0000-0000-0000C2240000}"/>
    <cellStyle name="Input 104 2 2 3 2" xfId="9411" xr:uid="{00000000-0005-0000-0000-0000C3240000}"/>
    <cellStyle name="Input 104 2 2 4" xfId="9412" xr:uid="{00000000-0005-0000-0000-0000C4240000}"/>
    <cellStyle name="Input 104 2 3" xfId="9413" xr:uid="{00000000-0005-0000-0000-0000C5240000}"/>
    <cellStyle name="Input 104 2 3 2" xfId="9414" xr:uid="{00000000-0005-0000-0000-0000C6240000}"/>
    <cellStyle name="Input 104 2 3 2 2" xfId="9415" xr:uid="{00000000-0005-0000-0000-0000C7240000}"/>
    <cellStyle name="Input 104 2 3 3" xfId="9416" xr:uid="{00000000-0005-0000-0000-0000C8240000}"/>
    <cellStyle name="Input 104 2 4" xfId="9417" xr:uid="{00000000-0005-0000-0000-0000C9240000}"/>
    <cellStyle name="Input 104 2 4 2" xfId="9418" xr:uid="{00000000-0005-0000-0000-0000CA240000}"/>
    <cellStyle name="Input 104 2 5" xfId="9419" xr:uid="{00000000-0005-0000-0000-0000CB240000}"/>
    <cellStyle name="Input 104 3" xfId="9420" xr:uid="{00000000-0005-0000-0000-0000CC240000}"/>
    <cellStyle name="Input 104 3 2" xfId="9421" xr:uid="{00000000-0005-0000-0000-0000CD240000}"/>
    <cellStyle name="Input 104 3 2 2" xfId="9422" xr:uid="{00000000-0005-0000-0000-0000CE240000}"/>
    <cellStyle name="Input 104 3 2 2 2" xfId="9423" xr:uid="{00000000-0005-0000-0000-0000CF240000}"/>
    <cellStyle name="Input 104 3 2 3" xfId="9424" xr:uid="{00000000-0005-0000-0000-0000D0240000}"/>
    <cellStyle name="Input 104 3 3" xfId="9425" xr:uid="{00000000-0005-0000-0000-0000D1240000}"/>
    <cellStyle name="Input 104 3 3 2" xfId="9426" xr:uid="{00000000-0005-0000-0000-0000D2240000}"/>
    <cellStyle name="Input 104 3 4" xfId="9427" xr:uid="{00000000-0005-0000-0000-0000D3240000}"/>
    <cellStyle name="Input 104 4" xfId="9428" xr:uid="{00000000-0005-0000-0000-0000D4240000}"/>
    <cellStyle name="Input 104 4 2" xfId="9429" xr:uid="{00000000-0005-0000-0000-0000D5240000}"/>
    <cellStyle name="Input 104 4 2 2" xfId="9430" xr:uid="{00000000-0005-0000-0000-0000D6240000}"/>
    <cellStyle name="Input 104 4 3" xfId="9431" xr:uid="{00000000-0005-0000-0000-0000D7240000}"/>
    <cellStyle name="Input 104 5" xfId="9432" xr:uid="{00000000-0005-0000-0000-0000D8240000}"/>
    <cellStyle name="Input 104 5 2" xfId="9433" xr:uid="{00000000-0005-0000-0000-0000D9240000}"/>
    <cellStyle name="Input 104 6" xfId="9434" xr:uid="{00000000-0005-0000-0000-0000DA240000}"/>
    <cellStyle name="Input 105" xfId="9435" xr:uid="{00000000-0005-0000-0000-0000DB240000}"/>
    <cellStyle name="Input 105 2" xfId="9436" xr:uid="{00000000-0005-0000-0000-0000DC240000}"/>
    <cellStyle name="Input 105 2 2" xfId="9437" xr:uid="{00000000-0005-0000-0000-0000DD240000}"/>
    <cellStyle name="Input 105 2 2 2" xfId="9438" xr:uid="{00000000-0005-0000-0000-0000DE240000}"/>
    <cellStyle name="Input 105 2 3" xfId="9439" xr:uid="{00000000-0005-0000-0000-0000DF240000}"/>
    <cellStyle name="Input 105 3" xfId="9440" xr:uid="{00000000-0005-0000-0000-0000E0240000}"/>
    <cellStyle name="Input 105 3 2" xfId="9441" xr:uid="{00000000-0005-0000-0000-0000E1240000}"/>
    <cellStyle name="Input 105 4" xfId="9442" xr:uid="{00000000-0005-0000-0000-0000E2240000}"/>
    <cellStyle name="Input 106" xfId="9443" xr:uid="{00000000-0005-0000-0000-0000E3240000}"/>
    <cellStyle name="Input 106 2" xfId="9444" xr:uid="{00000000-0005-0000-0000-0000E4240000}"/>
    <cellStyle name="Input 106 2 2" xfId="9445" xr:uid="{00000000-0005-0000-0000-0000E5240000}"/>
    <cellStyle name="Input 106 2 2 2" xfId="9446" xr:uid="{00000000-0005-0000-0000-0000E6240000}"/>
    <cellStyle name="Input 106 2 3" xfId="9447" xr:uid="{00000000-0005-0000-0000-0000E7240000}"/>
    <cellStyle name="Input 106 3" xfId="9448" xr:uid="{00000000-0005-0000-0000-0000E8240000}"/>
    <cellStyle name="Input 106 3 2" xfId="9449" xr:uid="{00000000-0005-0000-0000-0000E9240000}"/>
    <cellStyle name="Input 106 4" xfId="9450" xr:uid="{00000000-0005-0000-0000-0000EA240000}"/>
    <cellStyle name="Input 107" xfId="9451" xr:uid="{00000000-0005-0000-0000-0000EB240000}"/>
    <cellStyle name="Input 107 2" xfId="9452" xr:uid="{00000000-0005-0000-0000-0000EC240000}"/>
    <cellStyle name="Input 107 2 2" xfId="9453" xr:uid="{00000000-0005-0000-0000-0000ED240000}"/>
    <cellStyle name="Input 107 2 2 2" xfId="9454" xr:uid="{00000000-0005-0000-0000-0000EE240000}"/>
    <cellStyle name="Input 107 2 3" xfId="9455" xr:uid="{00000000-0005-0000-0000-0000EF240000}"/>
    <cellStyle name="Input 107 3" xfId="9456" xr:uid="{00000000-0005-0000-0000-0000F0240000}"/>
    <cellStyle name="Input 107 3 2" xfId="9457" xr:uid="{00000000-0005-0000-0000-0000F1240000}"/>
    <cellStyle name="Input 107 4" xfId="9458" xr:uid="{00000000-0005-0000-0000-0000F2240000}"/>
    <cellStyle name="Input 108" xfId="9459" xr:uid="{00000000-0005-0000-0000-0000F3240000}"/>
    <cellStyle name="Input 108 2" xfId="9460" xr:uid="{00000000-0005-0000-0000-0000F4240000}"/>
    <cellStyle name="Input 108 2 2" xfId="9461" xr:uid="{00000000-0005-0000-0000-0000F5240000}"/>
    <cellStyle name="Input 108 2 2 2" xfId="9462" xr:uid="{00000000-0005-0000-0000-0000F6240000}"/>
    <cellStyle name="Input 108 2 2 2 2" xfId="9463" xr:uid="{00000000-0005-0000-0000-0000F7240000}"/>
    <cellStyle name="Input 108 2 2 2 2 2" xfId="9464" xr:uid="{00000000-0005-0000-0000-0000F8240000}"/>
    <cellStyle name="Input 108 2 2 2 3" xfId="9465" xr:uid="{00000000-0005-0000-0000-0000F9240000}"/>
    <cellStyle name="Input 108 2 2 3" xfId="9466" xr:uid="{00000000-0005-0000-0000-0000FA240000}"/>
    <cellStyle name="Input 108 2 2 3 2" xfId="9467" xr:uid="{00000000-0005-0000-0000-0000FB240000}"/>
    <cellStyle name="Input 108 2 2 4" xfId="9468" xr:uid="{00000000-0005-0000-0000-0000FC240000}"/>
    <cellStyle name="Input 108 2 3" xfId="9469" xr:uid="{00000000-0005-0000-0000-0000FD240000}"/>
    <cellStyle name="Input 108 2 3 2" xfId="9470" xr:uid="{00000000-0005-0000-0000-0000FE240000}"/>
    <cellStyle name="Input 108 2 3 2 2" xfId="9471" xr:uid="{00000000-0005-0000-0000-0000FF240000}"/>
    <cellStyle name="Input 108 2 3 3" xfId="9472" xr:uid="{00000000-0005-0000-0000-000000250000}"/>
    <cellStyle name="Input 108 2 4" xfId="9473" xr:uid="{00000000-0005-0000-0000-000001250000}"/>
    <cellStyle name="Input 108 2 4 2" xfId="9474" xr:uid="{00000000-0005-0000-0000-000002250000}"/>
    <cellStyle name="Input 108 2 5" xfId="9475" xr:uid="{00000000-0005-0000-0000-000003250000}"/>
    <cellStyle name="Input 108 3" xfId="9476" xr:uid="{00000000-0005-0000-0000-000004250000}"/>
    <cellStyle name="Input 108 3 2" xfId="9477" xr:uid="{00000000-0005-0000-0000-000005250000}"/>
    <cellStyle name="Input 108 3 2 2" xfId="9478" xr:uid="{00000000-0005-0000-0000-000006250000}"/>
    <cellStyle name="Input 108 3 2 2 2" xfId="9479" xr:uid="{00000000-0005-0000-0000-000007250000}"/>
    <cellStyle name="Input 108 3 2 3" xfId="9480" xr:uid="{00000000-0005-0000-0000-000008250000}"/>
    <cellStyle name="Input 108 3 3" xfId="9481" xr:uid="{00000000-0005-0000-0000-000009250000}"/>
    <cellStyle name="Input 108 3 3 2" xfId="9482" xr:uid="{00000000-0005-0000-0000-00000A250000}"/>
    <cellStyle name="Input 108 3 4" xfId="9483" xr:uid="{00000000-0005-0000-0000-00000B250000}"/>
    <cellStyle name="Input 108 4" xfId="9484" xr:uid="{00000000-0005-0000-0000-00000C250000}"/>
    <cellStyle name="Input 108 4 2" xfId="9485" xr:uid="{00000000-0005-0000-0000-00000D250000}"/>
    <cellStyle name="Input 108 4 2 2" xfId="9486" xr:uid="{00000000-0005-0000-0000-00000E250000}"/>
    <cellStyle name="Input 108 4 3" xfId="9487" xr:uid="{00000000-0005-0000-0000-00000F250000}"/>
    <cellStyle name="Input 108 5" xfId="9488" xr:uid="{00000000-0005-0000-0000-000010250000}"/>
    <cellStyle name="Input 108 5 2" xfId="9489" xr:uid="{00000000-0005-0000-0000-000011250000}"/>
    <cellStyle name="Input 108 6" xfId="9490" xr:uid="{00000000-0005-0000-0000-000012250000}"/>
    <cellStyle name="Input 109" xfId="9491" xr:uid="{00000000-0005-0000-0000-000013250000}"/>
    <cellStyle name="Input 109 2" xfId="9492" xr:uid="{00000000-0005-0000-0000-000014250000}"/>
    <cellStyle name="Input 109 2 2" xfId="9493" xr:uid="{00000000-0005-0000-0000-000015250000}"/>
    <cellStyle name="Input 109 2 2 2" xfId="9494" xr:uid="{00000000-0005-0000-0000-000016250000}"/>
    <cellStyle name="Input 109 2 2 2 2" xfId="9495" xr:uid="{00000000-0005-0000-0000-000017250000}"/>
    <cellStyle name="Input 109 2 2 2 2 2" xfId="9496" xr:uid="{00000000-0005-0000-0000-000018250000}"/>
    <cellStyle name="Input 109 2 2 2 3" xfId="9497" xr:uid="{00000000-0005-0000-0000-000019250000}"/>
    <cellStyle name="Input 109 2 2 3" xfId="9498" xr:uid="{00000000-0005-0000-0000-00001A250000}"/>
    <cellStyle name="Input 109 2 2 3 2" xfId="9499" xr:uid="{00000000-0005-0000-0000-00001B250000}"/>
    <cellStyle name="Input 109 2 2 4" xfId="9500" xr:uid="{00000000-0005-0000-0000-00001C250000}"/>
    <cellStyle name="Input 109 2 3" xfId="9501" xr:uid="{00000000-0005-0000-0000-00001D250000}"/>
    <cellStyle name="Input 109 2 3 2" xfId="9502" xr:uid="{00000000-0005-0000-0000-00001E250000}"/>
    <cellStyle name="Input 109 2 3 2 2" xfId="9503" xr:uid="{00000000-0005-0000-0000-00001F250000}"/>
    <cellStyle name="Input 109 2 3 3" xfId="9504" xr:uid="{00000000-0005-0000-0000-000020250000}"/>
    <cellStyle name="Input 109 2 4" xfId="9505" xr:uid="{00000000-0005-0000-0000-000021250000}"/>
    <cellStyle name="Input 109 2 4 2" xfId="9506" xr:uid="{00000000-0005-0000-0000-000022250000}"/>
    <cellStyle name="Input 109 2 5" xfId="9507" xr:uid="{00000000-0005-0000-0000-000023250000}"/>
    <cellStyle name="Input 109 3" xfId="9508" xr:uid="{00000000-0005-0000-0000-000024250000}"/>
    <cellStyle name="Input 109 3 2" xfId="9509" xr:uid="{00000000-0005-0000-0000-000025250000}"/>
    <cellStyle name="Input 109 3 2 2" xfId="9510" xr:uid="{00000000-0005-0000-0000-000026250000}"/>
    <cellStyle name="Input 109 3 2 2 2" xfId="9511" xr:uid="{00000000-0005-0000-0000-000027250000}"/>
    <cellStyle name="Input 109 3 2 3" xfId="9512" xr:uid="{00000000-0005-0000-0000-000028250000}"/>
    <cellStyle name="Input 109 3 3" xfId="9513" xr:uid="{00000000-0005-0000-0000-000029250000}"/>
    <cellStyle name="Input 109 3 3 2" xfId="9514" xr:uid="{00000000-0005-0000-0000-00002A250000}"/>
    <cellStyle name="Input 109 3 4" xfId="9515" xr:uid="{00000000-0005-0000-0000-00002B250000}"/>
    <cellStyle name="Input 109 4" xfId="9516" xr:uid="{00000000-0005-0000-0000-00002C250000}"/>
    <cellStyle name="Input 109 4 2" xfId="9517" xr:uid="{00000000-0005-0000-0000-00002D250000}"/>
    <cellStyle name="Input 109 4 2 2" xfId="9518" xr:uid="{00000000-0005-0000-0000-00002E250000}"/>
    <cellStyle name="Input 109 4 3" xfId="9519" xr:uid="{00000000-0005-0000-0000-00002F250000}"/>
    <cellStyle name="Input 109 5" xfId="9520" xr:uid="{00000000-0005-0000-0000-000030250000}"/>
    <cellStyle name="Input 109 5 2" xfId="9521" xr:uid="{00000000-0005-0000-0000-000031250000}"/>
    <cellStyle name="Input 109 6" xfId="9522" xr:uid="{00000000-0005-0000-0000-000032250000}"/>
    <cellStyle name="Input 11" xfId="9523" xr:uid="{00000000-0005-0000-0000-000033250000}"/>
    <cellStyle name="Input 11 2" xfId="9524" xr:uid="{00000000-0005-0000-0000-000034250000}"/>
    <cellStyle name="Input 11 2 2" xfId="9525" xr:uid="{00000000-0005-0000-0000-000035250000}"/>
    <cellStyle name="Input 11 2 2 2" xfId="9526" xr:uid="{00000000-0005-0000-0000-000036250000}"/>
    <cellStyle name="Input 11 2 3" xfId="9527" xr:uid="{00000000-0005-0000-0000-000037250000}"/>
    <cellStyle name="Input 11 3" xfId="9528" xr:uid="{00000000-0005-0000-0000-000038250000}"/>
    <cellStyle name="Input 11 3 2" xfId="9529" xr:uid="{00000000-0005-0000-0000-000039250000}"/>
    <cellStyle name="Input 11 4" xfId="9530" xr:uid="{00000000-0005-0000-0000-00003A250000}"/>
    <cellStyle name="Input 110" xfId="9531" xr:uid="{00000000-0005-0000-0000-00003B250000}"/>
    <cellStyle name="Input 110 2" xfId="9532" xr:uid="{00000000-0005-0000-0000-00003C250000}"/>
    <cellStyle name="Input 110 2 2" xfId="9533" xr:uid="{00000000-0005-0000-0000-00003D250000}"/>
    <cellStyle name="Input 110 2 2 2" xfId="9534" xr:uid="{00000000-0005-0000-0000-00003E250000}"/>
    <cellStyle name="Input 110 2 2 2 2" xfId="9535" xr:uid="{00000000-0005-0000-0000-00003F250000}"/>
    <cellStyle name="Input 110 2 2 2 2 2" xfId="9536" xr:uid="{00000000-0005-0000-0000-000040250000}"/>
    <cellStyle name="Input 110 2 2 2 3" xfId="9537" xr:uid="{00000000-0005-0000-0000-000041250000}"/>
    <cellStyle name="Input 110 2 2 3" xfId="9538" xr:uid="{00000000-0005-0000-0000-000042250000}"/>
    <cellStyle name="Input 110 2 2 3 2" xfId="9539" xr:uid="{00000000-0005-0000-0000-000043250000}"/>
    <cellStyle name="Input 110 2 2 4" xfId="9540" xr:uid="{00000000-0005-0000-0000-000044250000}"/>
    <cellStyle name="Input 110 2 3" xfId="9541" xr:uid="{00000000-0005-0000-0000-000045250000}"/>
    <cellStyle name="Input 110 2 3 2" xfId="9542" xr:uid="{00000000-0005-0000-0000-000046250000}"/>
    <cellStyle name="Input 110 2 3 2 2" xfId="9543" xr:uid="{00000000-0005-0000-0000-000047250000}"/>
    <cellStyle name="Input 110 2 3 3" xfId="9544" xr:uid="{00000000-0005-0000-0000-000048250000}"/>
    <cellStyle name="Input 110 2 4" xfId="9545" xr:uid="{00000000-0005-0000-0000-000049250000}"/>
    <cellStyle name="Input 110 2 4 2" xfId="9546" xr:uid="{00000000-0005-0000-0000-00004A250000}"/>
    <cellStyle name="Input 110 2 5" xfId="9547" xr:uid="{00000000-0005-0000-0000-00004B250000}"/>
    <cellStyle name="Input 110 3" xfId="9548" xr:uid="{00000000-0005-0000-0000-00004C250000}"/>
    <cellStyle name="Input 110 3 2" xfId="9549" xr:uid="{00000000-0005-0000-0000-00004D250000}"/>
    <cellStyle name="Input 110 3 2 2" xfId="9550" xr:uid="{00000000-0005-0000-0000-00004E250000}"/>
    <cellStyle name="Input 110 3 2 2 2" xfId="9551" xr:uid="{00000000-0005-0000-0000-00004F250000}"/>
    <cellStyle name="Input 110 3 2 3" xfId="9552" xr:uid="{00000000-0005-0000-0000-000050250000}"/>
    <cellStyle name="Input 110 3 3" xfId="9553" xr:uid="{00000000-0005-0000-0000-000051250000}"/>
    <cellStyle name="Input 110 3 3 2" xfId="9554" xr:uid="{00000000-0005-0000-0000-000052250000}"/>
    <cellStyle name="Input 110 3 4" xfId="9555" xr:uid="{00000000-0005-0000-0000-000053250000}"/>
    <cellStyle name="Input 110 4" xfId="9556" xr:uid="{00000000-0005-0000-0000-000054250000}"/>
    <cellStyle name="Input 110 4 2" xfId="9557" xr:uid="{00000000-0005-0000-0000-000055250000}"/>
    <cellStyle name="Input 110 4 2 2" xfId="9558" xr:uid="{00000000-0005-0000-0000-000056250000}"/>
    <cellStyle name="Input 110 4 3" xfId="9559" xr:uid="{00000000-0005-0000-0000-000057250000}"/>
    <cellStyle name="Input 110 5" xfId="9560" xr:uid="{00000000-0005-0000-0000-000058250000}"/>
    <cellStyle name="Input 110 5 2" xfId="9561" xr:uid="{00000000-0005-0000-0000-000059250000}"/>
    <cellStyle name="Input 110 6" xfId="9562" xr:uid="{00000000-0005-0000-0000-00005A250000}"/>
    <cellStyle name="Input 111" xfId="9563" xr:uid="{00000000-0005-0000-0000-00005B250000}"/>
    <cellStyle name="Input 111 2" xfId="9564" xr:uid="{00000000-0005-0000-0000-00005C250000}"/>
    <cellStyle name="Input 111 2 2" xfId="9565" xr:uid="{00000000-0005-0000-0000-00005D250000}"/>
    <cellStyle name="Input 111 2 2 2" xfId="9566" xr:uid="{00000000-0005-0000-0000-00005E250000}"/>
    <cellStyle name="Input 111 2 2 2 2" xfId="9567" xr:uid="{00000000-0005-0000-0000-00005F250000}"/>
    <cellStyle name="Input 111 2 2 2 2 2" xfId="9568" xr:uid="{00000000-0005-0000-0000-000060250000}"/>
    <cellStyle name="Input 111 2 2 2 3" xfId="9569" xr:uid="{00000000-0005-0000-0000-000061250000}"/>
    <cellStyle name="Input 111 2 2 3" xfId="9570" xr:uid="{00000000-0005-0000-0000-000062250000}"/>
    <cellStyle name="Input 111 2 2 3 2" xfId="9571" xr:uid="{00000000-0005-0000-0000-000063250000}"/>
    <cellStyle name="Input 111 2 2 4" xfId="9572" xr:uid="{00000000-0005-0000-0000-000064250000}"/>
    <cellStyle name="Input 111 2 3" xfId="9573" xr:uid="{00000000-0005-0000-0000-000065250000}"/>
    <cellStyle name="Input 111 2 3 2" xfId="9574" xr:uid="{00000000-0005-0000-0000-000066250000}"/>
    <cellStyle name="Input 111 2 3 2 2" xfId="9575" xr:uid="{00000000-0005-0000-0000-000067250000}"/>
    <cellStyle name="Input 111 2 3 3" xfId="9576" xr:uid="{00000000-0005-0000-0000-000068250000}"/>
    <cellStyle name="Input 111 2 4" xfId="9577" xr:uid="{00000000-0005-0000-0000-000069250000}"/>
    <cellStyle name="Input 111 2 4 2" xfId="9578" xr:uid="{00000000-0005-0000-0000-00006A250000}"/>
    <cellStyle name="Input 111 2 5" xfId="9579" xr:uid="{00000000-0005-0000-0000-00006B250000}"/>
    <cellStyle name="Input 111 3" xfId="9580" xr:uid="{00000000-0005-0000-0000-00006C250000}"/>
    <cellStyle name="Input 111 3 2" xfId="9581" xr:uid="{00000000-0005-0000-0000-00006D250000}"/>
    <cellStyle name="Input 111 3 2 2" xfId="9582" xr:uid="{00000000-0005-0000-0000-00006E250000}"/>
    <cellStyle name="Input 111 3 2 2 2" xfId="9583" xr:uid="{00000000-0005-0000-0000-00006F250000}"/>
    <cellStyle name="Input 111 3 2 3" xfId="9584" xr:uid="{00000000-0005-0000-0000-000070250000}"/>
    <cellStyle name="Input 111 3 3" xfId="9585" xr:uid="{00000000-0005-0000-0000-000071250000}"/>
    <cellStyle name="Input 111 3 3 2" xfId="9586" xr:uid="{00000000-0005-0000-0000-000072250000}"/>
    <cellStyle name="Input 111 3 4" xfId="9587" xr:uid="{00000000-0005-0000-0000-000073250000}"/>
    <cellStyle name="Input 111 4" xfId="9588" xr:uid="{00000000-0005-0000-0000-000074250000}"/>
    <cellStyle name="Input 111 4 2" xfId="9589" xr:uid="{00000000-0005-0000-0000-000075250000}"/>
    <cellStyle name="Input 111 4 2 2" xfId="9590" xr:uid="{00000000-0005-0000-0000-000076250000}"/>
    <cellStyle name="Input 111 4 3" xfId="9591" xr:uid="{00000000-0005-0000-0000-000077250000}"/>
    <cellStyle name="Input 111 5" xfId="9592" xr:uid="{00000000-0005-0000-0000-000078250000}"/>
    <cellStyle name="Input 111 5 2" xfId="9593" xr:uid="{00000000-0005-0000-0000-000079250000}"/>
    <cellStyle name="Input 111 6" xfId="9594" xr:uid="{00000000-0005-0000-0000-00007A250000}"/>
    <cellStyle name="Input 112" xfId="9595" xr:uid="{00000000-0005-0000-0000-00007B250000}"/>
    <cellStyle name="Input 112 2" xfId="9596" xr:uid="{00000000-0005-0000-0000-00007C250000}"/>
    <cellStyle name="Input 112 2 2" xfId="9597" xr:uid="{00000000-0005-0000-0000-00007D250000}"/>
    <cellStyle name="Input 112 2 2 2" xfId="9598" xr:uid="{00000000-0005-0000-0000-00007E250000}"/>
    <cellStyle name="Input 112 2 2 2 2" xfId="9599" xr:uid="{00000000-0005-0000-0000-00007F250000}"/>
    <cellStyle name="Input 112 2 2 2 2 2" xfId="9600" xr:uid="{00000000-0005-0000-0000-000080250000}"/>
    <cellStyle name="Input 112 2 2 2 3" xfId="9601" xr:uid="{00000000-0005-0000-0000-000081250000}"/>
    <cellStyle name="Input 112 2 2 3" xfId="9602" xr:uid="{00000000-0005-0000-0000-000082250000}"/>
    <cellStyle name="Input 112 2 2 3 2" xfId="9603" xr:uid="{00000000-0005-0000-0000-000083250000}"/>
    <cellStyle name="Input 112 2 2 4" xfId="9604" xr:uid="{00000000-0005-0000-0000-000084250000}"/>
    <cellStyle name="Input 112 2 3" xfId="9605" xr:uid="{00000000-0005-0000-0000-000085250000}"/>
    <cellStyle name="Input 112 2 3 2" xfId="9606" xr:uid="{00000000-0005-0000-0000-000086250000}"/>
    <cellStyle name="Input 112 2 3 2 2" xfId="9607" xr:uid="{00000000-0005-0000-0000-000087250000}"/>
    <cellStyle name="Input 112 2 3 3" xfId="9608" xr:uid="{00000000-0005-0000-0000-000088250000}"/>
    <cellStyle name="Input 112 2 4" xfId="9609" xr:uid="{00000000-0005-0000-0000-000089250000}"/>
    <cellStyle name="Input 112 2 4 2" xfId="9610" xr:uid="{00000000-0005-0000-0000-00008A250000}"/>
    <cellStyle name="Input 112 2 5" xfId="9611" xr:uid="{00000000-0005-0000-0000-00008B250000}"/>
    <cellStyle name="Input 112 3" xfId="9612" xr:uid="{00000000-0005-0000-0000-00008C250000}"/>
    <cellStyle name="Input 112 3 2" xfId="9613" xr:uid="{00000000-0005-0000-0000-00008D250000}"/>
    <cellStyle name="Input 112 3 2 2" xfId="9614" xr:uid="{00000000-0005-0000-0000-00008E250000}"/>
    <cellStyle name="Input 112 3 2 2 2" xfId="9615" xr:uid="{00000000-0005-0000-0000-00008F250000}"/>
    <cellStyle name="Input 112 3 2 3" xfId="9616" xr:uid="{00000000-0005-0000-0000-000090250000}"/>
    <cellStyle name="Input 112 3 3" xfId="9617" xr:uid="{00000000-0005-0000-0000-000091250000}"/>
    <cellStyle name="Input 112 3 3 2" xfId="9618" xr:uid="{00000000-0005-0000-0000-000092250000}"/>
    <cellStyle name="Input 112 3 4" xfId="9619" xr:uid="{00000000-0005-0000-0000-000093250000}"/>
    <cellStyle name="Input 112 4" xfId="9620" xr:uid="{00000000-0005-0000-0000-000094250000}"/>
    <cellStyle name="Input 112 4 2" xfId="9621" xr:uid="{00000000-0005-0000-0000-000095250000}"/>
    <cellStyle name="Input 112 4 2 2" xfId="9622" xr:uid="{00000000-0005-0000-0000-000096250000}"/>
    <cellStyle name="Input 112 4 3" xfId="9623" xr:uid="{00000000-0005-0000-0000-000097250000}"/>
    <cellStyle name="Input 112 5" xfId="9624" xr:uid="{00000000-0005-0000-0000-000098250000}"/>
    <cellStyle name="Input 112 5 2" xfId="9625" xr:uid="{00000000-0005-0000-0000-000099250000}"/>
    <cellStyle name="Input 112 6" xfId="9626" xr:uid="{00000000-0005-0000-0000-00009A250000}"/>
    <cellStyle name="Input 113" xfId="9627" xr:uid="{00000000-0005-0000-0000-00009B250000}"/>
    <cellStyle name="Input 113 2" xfId="9628" xr:uid="{00000000-0005-0000-0000-00009C250000}"/>
    <cellStyle name="Input 113 2 2" xfId="9629" xr:uid="{00000000-0005-0000-0000-00009D250000}"/>
    <cellStyle name="Input 113 2 2 2" xfId="9630" xr:uid="{00000000-0005-0000-0000-00009E250000}"/>
    <cellStyle name="Input 113 2 2 2 2" xfId="9631" xr:uid="{00000000-0005-0000-0000-00009F250000}"/>
    <cellStyle name="Input 113 2 2 2 2 2" xfId="9632" xr:uid="{00000000-0005-0000-0000-0000A0250000}"/>
    <cellStyle name="Input 113 2 2 2 3" xfId="9633" xr:uid="{00000000-0005-0000-0000-0000A1250000}"/>
    <cellStyle name="Input 113 2 2 3" xfId="9634" xr:uid="{00000000-0005-0000-0000-0000A2250000}"/>
    <cellStyle name="Input 113 2 2 3 2" xfId="9635" xr:uid="{00000000-0005-0000-0000-0000A3250000}"/>
    <cellStyle name="Input 113 2 2 4" xfId="9636" xr:uid="{00000000-0005-0000-0000-0000A4250000}"/>
    <cellStyle name="Input 113 2 3" xfId="9637" xr:uid="{00000000-0005-0000-0000-0000A5250000}"/>
    <cellStyle name="Input 113 2 3 2" xfId="9638" xr:uid="{00000000-0005-0000-0000-0000A6250000}"/>
    <cellStyle name="Input 113 2 3 2 2" xfId="9639" xr:uid="{00000000-0005-0000-0000-0000A7250000}"/>
    <cellStyle name="Input 113 2 3 3" xfId="9640" xr:uid="{00000000-0005-0000-0000-0000A8250000}"/>
    <cellStyle name="Input 113 2 4" xfId="9641" xr:uid="{00000000-0005-0000-0000-0000A9250000}"/>
    <cellStyle name="Input 113 2 4 2" xfId="9642" xr:uid="{00000000-0005-0000-0000-0000AA250000}"/>
    <cellStyle name="Input 113 2 5" xfId="9643" xr:uid="{00000000-0005-0000-0000-0000AB250000}"/>
    <cellStyle name="Input 113 3" xfId="9644" xr:uid="{00000000-0005-0000-0000-0000AC250000}"/>
    <cellStyle name="Input 113 3 2" xfId="9645" xr:uid="{00000000-0005-0000-0000-0000AD250000}"/>
    <cellStyle name="Input 113 3 2 2" xfId="9646" xr:uid="{00000000-0005-0000-0000-0000AE250000}"/>
    <cellStyle name="Input 113 3 2 2 2" xfId="9647" xr:uid="{00000000-0005-0000-0000-0000AF250000}"/>
    <cellStyle name="Input 113 3 2 3" xfId="9648" xr:uid="{00000000-0005-0000-0000-0000B0250000}"/>
    <cellStyle name="Input 113 3 3" xfId="9649" xr:uid="{00000000-0005-0000-0000-0000B1250000}"/>
    <cellStyle name="Input 113 3 3 2" xfId="9650" xr:uid="{00000000-0005-0000-0000-0000B2250000}"/>
    <cellStyle name="Input 113 3 4" xfId="9651" xr:uid="{00000000-0005-0000-0000-0000B3250000}"/>
    <cellStyle name="Input 113 4" xfId="9652" xr:uid="{00000000-0005-0000-0000-0000B4250000}"/>
    <cellStyle name="Input 113 4 2" xfId="9653" xr:uid="{00000000-0005-0000-0000-0000B5250000}"/>
    <cellStyle name="Input 113 4 2 2" xfId="9654" xr:uid="{00000000-0005-0000-0000-0000B6250000}"/>
    <cellStyle name="Input 113 4 3" xfId="9655" xr:uid="{00000000-0005-0000-0000-0000B7250000}"/>
    <cellStyle name="Input 113 5" xfId="9656" xr:uid="{00000000-0005-0000-0000-0000B8250000}"/>
    <cellStyle name="Input 113 5 2" xfId="9657" xr:uid="{00000000-0005-0000-0000-0000B9250000}"/>
    <cellStyle name="Input 113 6" xfId="9658" xr:uid="{00000000-0005-0000-0000-0000BA250000}"/>
    <cellStyle name="Input 114" xfId="9659" xr:uid="{00000000-0005-0000-0000-0000BB250000}"/>
    <cellStyle name="Input 114 2" xfId="9660" xr:uid="{00000000-0005-0000-0000-0000BC250000}"/>
    <cellStyle name="Input 114 2 2" xfId="9661" xr:uid="{00000000-0005-0000-0000-0000BD250000}"/>
    <cellStyle name="Input 114 2 2 2" xfId="9662" xr:uid="{00000000-0005-0000-0000-0000BE250000}"/>
    <cellStyle name="Input 114 2 2 2 2" xfId="9663" xr:uid="{00000000-0005-0000-0000-0000BF250000}"/>
    <cellStyle name="Input 114 2 2 3" xfId="9664" xr:uid="{00000000-0005-0000-0000-0000C0250000}"/>
    <cellStyle name="Input 114 2 3" xfId="9665" xr:uid="{00000000-0005-0000-0000-0000C1250000}"/>
    <cellStyle name="Input 114 2 3 2" xfId="9666" xr:uid="{00000000-0005-0000-0000-0000C2250000}"/>
    <cellStyle name="Input 114 2 4" xfId="9667" xr:uid="{00000000-0005-0000-0000-0000C3250000}"/>
    <cellStyle name="Input 114 3" xfId="9668" xr:uid="{00000000-0005-0000-0000-0000C4250000}"/>
    <cellStyle name="Input 114 3 2" xfId="9669" xr:uid="{00000000-0005-0000-0000-0000C5250000}"/>
    <cellStyle name="Input 114 3 2 2" xfId="9670" xr:uid="{00000000-0005-0000-0000-0000C6250000}"/>
    <cellStyle name="Input 114 3 3" xfId="9671" xr:uid="{00000000-0005-0000-0000-0000C7250000}"/>
    <cellStyle name="Input 114 4" xfId="9672" xr:uid="{00000000-0005-0000-0000-0000C8250000}"/>
    <cellStyle name="Input 114 4 2" xfId="9673" xr:uid="{00000000-0005-0000-0000-0000C9250000}"/>
    <cellStyle name="Input 114 5" xfId="9674" xr:uid="{00000000-0005-0000-0000-0000CA250000}"/>
    <cellStyle name="Input 115" xfId="9675" xr:uid="{00000000-0005-0000-0000-0000CB250000}"/>
    <cellStyle name="Input 115 2" xfId="9676" xr:uid="{00000000-0005-0000-0000-0000CC250000}"/>
    <cellStyle name="Input 115 2 2" xfId="9677" xr:uid="{00000000-0005-0000-0000-0000CD250000}"/>
    <cellStyle name="Input 115 2 2 2" xfId="9678" xr:uid="{00000000-0005-0000-0000-0000CE250000}"/>
    <cellStyle name="Input 115 2 2 2 2" xfId="9679" xr:uid="{00000000-0005-0000-0000-0000CF250000}"/>
    <cellStyle name="Input 115 2 2 3" xfId="9680" xr:uid="{00000000-0005-0000-0000-0000D0250000}"/>
    <cellStyle name="Input 115 2 3" xfId="9681" xr:uid="{00000000-0005-0000-0000-0000D1250000}"/>
    <cellStyle name="Input 115 2 3 2" xfId="9682" xr:uid="{00000000-0005-0000-0000-0000D2250000}"/>
    <cellStyle name="Input 115 2 4" xfId="9683" xr:uid="{00000000-0005-0000-0000-0000D3250000}"/>
    <cellStyle name="Input 115 3" xfId="9684" xr:uid="{00000000-0005-0000-0000-0000D4250000}"/>
    <cellStyle name="Input 115 3 2" xfId="9685" xr:uid="{00000000-0005-0000-0000-0000D5250000}"/>
    <cellStyle name="Input 115 3 2 2" xfId="9686" xr:uid="{00000000-0005-0000-0000-0000D6250000}"/>
    <cellStyle name="Input 115 3 3" xfId="9687" xr:uid="{00000000-0005-0000-0000-0000D7250000}"/>
    <cellStyle name="Input 115 4" xfId="9688" xr:uid="{00000000-0005-0000-0000-0000D8250000}"/>
    <cellStyle name="Input 115 4 2" xfId="9689" xr:uid="{00000000-0005-0000-0000-0000D9250000}"/>
    <cellStyle name="Input 115 5" xfId="9690" xr:uid="{00000000-0005-0000-0000-0000DA250000}"/>
    <cellStyle name="Input 116" xfId="9691" xr:uid="{00000000-0005-0000-0000-0000DB250000}"/>
    <cellStyle name="Input 116 2" xfId="9692" xr:uid="{00000000-0005-0000-0000-0000DC250000}"/>
    <cellStyle name="Input 116 2 2" xfId="9693" xr:uid="{00000000-0005-0000-0000-0000DD250000}"/>
    <cellStyle name="Input 116 2 2 2" xfId="9694" xr:uid="{00000000-0005-0000-0000-0000DE250000}"/>
    <cellStyle name="Input 116 2 2 2 2" xfId="9695" xr:uid="{00000000-0005-0000-0000-0000DF250000}"/>
    <cellStyle name="Input 116 2 2 3" xfId="9696" xr:uid="{00000000-0005-0000-0000-0000E0250000}"/>
    <cellStyle name="Input 116 2 3" xfId="9697" xr:uid="{00000000-0005-0000-0000-0000E1250000}"/>
    <cellStyle name="Input 116 2 3 2" xfId="9698" xr:uid="{00000000-0005-0000-0000-0000E2250000}"/>
    <cellStyle name="Input 116 2 4" xfId="9699" xr:uid="{00000000-0005-0000-0000-0000E3250000}"/>
    <cellStyle name="Input 116 3" xfId="9700" xr:uid="{00000000-0005-0000-0000-0000E4250000}"/>
    <cellStyle name="Input 116 3 2" xfId="9701" xr:uid="{00000000-0005-0000-0000-0000E5250000}"/>
    <cellStyle name="Input 116 3 2 2" xfId="9702" xr:uid="{00000000-0005-0000-0000-0000E6250000}"/>
    <cellStyle name="Input 116 3 3" xfId="9703" xr:uid="{00000000-0005-0000-0000-0000E7250000}"/>
    <cellStyle name="Input 116 4" xfId="9704" xr:uid="{00000000-0005-0000-0000-0000E8250000}"/>
    <cellStyle name="Input 116 4 2" xfId="9705" xr:uid="{00000000-0005-0000-0000-0000E9250000}"/>
    <cellStyle name="Input 116 5" xfId="9706" xr:uid="{00000000-0005-0000-0000-0000EA250000}"/>
    <cellStyle name="Input 117" xfId="9707" xr:uid="{00000000-0005-0000-0000-0000EB250000}"/>
    <cellStyle name="Input 117 2" xfId="9708" xr:uid="{00000000-0005-0000-0000-0000EC250000}"/>
    <cellStyle name="Input 117 2 2" xfId="9709" xr:uid="{00000000-0005-0000-0000-0000ED250000}"/>
    <cellStyle name="Input 117 2 2 2" xfId="9710" xr:uid="{00000000-0005-0000-0000-0000EE250000}"/>
    <cellStyle name="Input 117 2 2 2 2" xfId="9711" xr:uid="{00000000-0005-0000-0000-0000EF250000}"/>
    <cellStyle name="Input 117 2 2 3" xfId="9712" xr:uid="{00000000-0005-0000-0000-0000F0250000}"/>
    <cellStyle name="Input 117 2 3" xfId="9713" xr:uid="{00000000-0005-0000-0000-0000F1250000}"/>
    <cellStyle name="Input 117 2 3 2" xfId="9714" xr:uid="{00000000-0005-0000-0000-0000F2250000}"/>
    <cellStyle name="Input 117 2 4" xfId="9715" xr:uid="{00000000-0005-0000-0000-0000F3250000}"/>
    <cellStyle name="Input 117 3" xfId="9716" xr:uid="{00000000-0005-0000-0000-0000F4250000}"/>
    <cellStyle name="Input 117 3 2" xfId="9717" xr:uid="{00000000-0005-0000-0000-0000F5250000}"/>
    <cellStyle name="Input 117 3 2 2" xfId="9718" xr:uid="{00000000-0005-0000-0000-0000F6250000}"/>
    <cellStyle name="Input 117 3 3" xfId="9719" xr:uid="{00000000-0005-0000-0000-0000F7250000}"/>
    <cellStyle name="Input 117 4" xfId="9720" xr:uid="{00000000-0005-0000-0000-0000F8250000}"/>
    <cellStyle name="Input 117 4 2" xfId="9721" xr:uid="{00000000-0005-0000-0000-0000F9250000}"/>
    <cellStyle name="Input 117 5" xfId="9722" xr:uid="{00000000-0005-0000-0000-0000FA250000}"/>
    <cellStyle name="Input 118" xfId="9723" xr:uid="{00000000-0005-0000-0000-0000FB250000}"/>
    <cellStyle name="Input 118 2" xfId="9724" xr:uid="{00000000-0005-0000-0000-0000FC250000}"/>
    <cellStyle name="Input 118 2 2" xfId="9725" xr:uid="{00000000-0005-0000-0000-0000FD250000}"/>
    <cellStyle name="Input 118 3" xfId="9726" xr:uid="{00000000-0005-0000-0000-0000FE250000}"/>
    <cellStyle name="Input 119" xfId="9727" xr:uid="{00000000-0005-0000-0000-0000FF250000}"/>
    <cellStyle name="Input 119 2" xfId="9728" xr:uid="{00000000-0005-0000-0000-000000260000}"/>
    <cellStyle name="Input 119 3" xfId="9729" xr:uid="{00000000-0005-0000-0000-000001260000}"/>
    <cellStyle name="Input 12" xfId="9730" xr:uid="{00000000-0005-0000-0000-000002260000}"/>
    <cellStyle name="Input 12 2" xfId="9731" xr:uid="{00000000-0005-0000-0000-000003260000}"/>
    <cellStyle name="Input 12 2 2" xfId="9732" xr:uid="{00000000-0005-0000-0000-000004260000}"/>
    <cellStyle name="Input 12 2 2 2" xfId="9733" xr:uid="{00000000-0005-0000-0000-000005260000}"/>
    <cellStyle name="Input 12 2 3" xfId="9734" xr:uid="{00000000-0005-0000-0000-000006260000}"/>
    <cellStyle name="Input 12 3" xfId="9735" xr:uid="{00000000-0005-0000-0000-000007260000}"/>
    <cellStyle name="Input 12 3 2" xfId="9736" xr:uid="{00000000-0005-0000-0000-000008260000}"/>
    <cellStyle name="Input 12 4" xfId="9737" xr:uid="{00000000-0005-0000-0000-000009260000}"/>
    <cellStyle name="Input 120" xfId="9738" xr:uid="{00000000-0005-0000-0000-00000A260000}"/>
    <cellStyle name="Input 120 2" xfId="9739" xr:uid="{00000000-0005-0000-0000-00000B260000}"/>
    <cellStyle name="Input 120 3" xfId="9740" xr:uid="{00000000-0005-0000-0000-00000C260000}"/>
    <cellStyle name="Input 121" xfId="9741" xr:uid="{00000000-0005-0000-0000-00000D260000}"/>
    <cellStyle name="Input 121 2" xfId="9742" xr:uid="{00000000-0005-0000-0000-00000E260000}"/>
    <cellStyle name="Input 122" xfId="9743" xr:uid="{00000000-0005-0000-0000-00000F260000}"/>
    <cellStyle name="Input 122 2" xfId="9744" xr:uid="{00000000-0005-0000-0000-000010260000}"/>
    <cellStyle name="Input 122 3" xfId="9745" xr:uid="{00000000-0005-0000-0000-000011260000}"/>
    <cellStyle name="Input 123" xfId="9746" xr:uid="{00000000-0005-0000-0000-000012260000}"/>
    <cellStyle name="Input 123 2" xfId="9747" xr:uid="{00000000-0005-0000-0000-000013260000}"/>
    <cellStyle name="Input 124" xfId="9748" xr:uid="{00000000-0005-0000-0000-000014260000}"/>
    <cellStyle name="Input 124 2" xfId="9749" xr:uid="{00000000-0005-0000-0000-000015260000}"/>
    <cellStyle name="Input 125" xfId="9750" xr:uid="{00000000-0005-0000-0000-000016260000}"/>
    <cellStyle name="Input 125 2" xfId="9751" xr:uid="{00000000-0005-0000-0000-000017260000}"/>
    <cellStyle name="Input 126" xfId="9752" xr:uid="{00000000-0005-0000-0000-000018260000}"/>
    <cellStyle name="Input 127" xfId="9753" xr:uid="{00000000-0005-0000-0000-000019260000}"/>
    <cellStyle name="Input 128" xfId="9754" xr:uid="{00000000-0005-0000-0000-00001A260000}"/>
    <cellStyle name="Input 129" xfId="9755" xr:uid="{00000000-0005-0000-0000-00001B260000}"/>
    <cellStyle name="Input 13" xfId="9756" xr:uid="{00000000-0005-0000-0000-00001C260000}"/>
    <cellStyle name="Input 13 2" xfId="9757" xr:uid="{00000000-0005-0000-0000-00001D260000}"/>
    <cellStyle name="Input 13 2 2" xfId="9758" xr:uid="{00000000-0005-0000-0000-00001E260000}"/>
    <cellStyle name="Input 13 2 2 2" xfId="9759" xr:uid="{00000000-0005-0000-0000-00001F260000}"/>
    <cellStyle name="Input 13 2 3" xfId="9760" xr:uid="{00000000-0005-0000-0000-000020260000}"/>
    <cellStyle name="Input 13 3" xfId="9761" xr:uid="{00000000-0005-0000-0000-000021260000}"/>
    <cellStyle name="Input 13 3 2" xfId="9762" xr:uid="{00000000-0005-0000-0000-000022260000}"/>
    <cellStyle name="Input 13 4" xfId="9763" xr:uid="{00000000-0005-0000-0000-000023260000}"/>
    <cellStyle name="Input 130" xfId="9764" xr:uid="{00000000-0005-0000-0000-000024260000}"/>
    <cellStyle name="Input 131" xfId="9765" xr:uid="{00000000-0005-0000-0000-000025260000}"/>
    <cellStyle name="Input 132" xfId="9766" xr:uid="{00000000-0005-0000-0000-000026260000}"/>
    <cellStyle name="Input 133" xfId="9767" xr:uid="{00000000-0005-0000-0000-000027260000}"/>
    <cellStyle name="Input 134" xfId="9768" xr:uid="{00000000-0005-0000-0000-000028260000}"/>
    <cellStyle name="Input 135" xfId="9769" xr:uid="{00000000-0005-0000-0000-000029260000}"/>
    <cellStyle name="Input 136" xfId="9770" xr:uid="{00000000-0005-0000-0000-00002A260000}"/>
    <cellStyle name="Input 137" xfId="9771" xr:uid="{00000000-0005-0000-0000-00002B260000}"/>
    <cellStyle name="Input 138" xfId="9772" xr:uid="{00000000-0005-0000-0000-00002C260000}"/>
    <cellStyle name="Input 139" xfId="9773" xr:uid="{00000000-0005-0000-0000-00002D260000}"/>
    <cellStyle name="Input 14" xfId="9774" xr:uid="{00000000-0005-0000-0000-00002E260000}"/>
    <cellStyle name="Input 14 2" xfId="9775" xr:uid="{00000000-0005-0000-0000-00002F260000}"/>
    <cellStyle name="Input 14 2 2" xfId="9776" xr:uid="{00000000-0005-0000-0000-000030260000}"/>
    <cellStyle name="Input 14 2 2 2" xfId="9777" xr:uid="{00000000-0005-0000-0000-000031260000}"/>
    <cellStyle name="Input 14 2 3" xfId="9778" xr:uid="{00000000-0005-0000-0000-000032260000}"/>
    <cellStyle name="Input 14 3" xfId="9779" xr:uid="{00000000-0005-0000-0000-000033260000}"/>
    <cellStyle name="Input 14 3 2" xfId="9780" xr:uid="{00000000-0005-0000-0000-000034260000}"/>
    <cellStyle name="Input 14 4" xfId="9781" xr:uid="{00000000-0005-0000-0000-000035260000}"/>
    <cellStyle name="Input 140" xfId="9782" xr:uid="{00000000-0005-0000-0000-000036260000}"/>
    <cellStyle name="Input 141" xfId="9783" xr:uid="{00000000-0005-0000-0000-000037260000}"/>
    <cellStyle name="Input 142" xfId="9784" xr:uid="{00000000-0005-0000-0000-000038260000}"/>
    <cellStyle name="Input 143" xfId="9785" xr:uid="{00000000-0005-0000-0000-000039260000}"/>
    <cellStyle name="Input 144" xfId="9786" xr:uid="{00000000-0005-0000-0000-00003A260000}"/>
    <cellStyle name="Input 145" xfId="9787" xr:uid="{00000000-0005-0000-0000-00003B260000}"/>
    <cellStyle name="Input 146" xfId="9788" xr:uid="{00000000-0005-0000-0000-00003C260000}"/>
    <cellStyle name="Input 147" xfId="9789" xr:uid="{00000000-0005-0000-0000-00003D260000}"/>
    <cellStyle name="Input 148" xfId="9790" xr:uid="{00000000-0005-0000-0000-00003E260000}"/>
    <cellStyle name="Input 149" xfId="9791" xr:uid="{00000000-0005-0000-0000-00003F260000}"/>
    <cellStyle name="Input 15" xfId="9792" xr:uid="{00000000-0005-0000-0000-000040260000}"/>
    <cellStyle name="Input 15 2" xfId="9793" xr:uid="{00000000-0005-0000-0000-000041260000}"/>
    <cellStyle name="Input 15 2 2" xfId="9794" xr:uid="{00000000-0005-0000-0000-000042260000}"/>
    <cellStyle name="Input 15 2 2 2" xfId="9795" xr:uid="{00000000-0005-0000-0000-000043260000}"/>
    <cellStyle name="Input 15 2 3" xfId="9796" xr:uid="{00000000-0005-0000-0000-000044260000}"/>
    <cellStyle name="Input 15 3" xfId="9797" xr:uid="{00000000-0005-0000-0000-000045260000}"/>
    <cellStyle name="Input 15 3 2" xfId="9798" xr:uid="{00000000-0005-0000-0000-000046260000}"/>
    <cellStyle name="Input 15 4" xfId="9799" xr:uid="{00000000-0005-0000-0000-000047260000}"/>
    <cellStyle name="Input 150" xfId="9800" xr:uid="{00000000-0005-0000-0000-000048260000}"/>
    <cellStyle name="Input 151" xfId="9801" xr:uid="{00000000-0005-0000-0000-000049260000}"/>
    <cellStyle name="Input 152" xfId="9802" xr:uid="{00000000-0005-0000-0000-00004A260000}"/>
    <cellStyle name="Input 153" xfId="9803" xr:uid="{00000000-0005-0000-0000-00004B260000}"/>
    <cellStyle name="Input 154" xfId="9804" xr:uid="{00000000-0005-0000-0000-00004C260000}"/>
    <cellStyle name="Input 155" xfId="9805" xr:uid="{00000000-0005-0000-0000-00004D260000}"/>
    <cellStyle name="Input 156" xfId="9806" xr:uid="{00000000-0005-0000-0000-00004E260000}"/>
    <cellStyle name="Input 157" xfId="9807" xr:uid="{00000000-0005-0000-0000-00004F260000}"/>
    <cellStyle name="Input 158" xfId="9808" xr:uid="{00000000-0005-0000-0000-000050260000}"/>
    <cellStyle name="Input 159" xfId="9809" xr:uid="{00000000-0005-0000-0000-000051260000}"/>
    <cellStyle name="Input 16" xfId="9810" xr:uid="{00000000-0005-0000-0000-000052260000}"/>
    <cellStyle name="Input 16 2" xfId="9811" xr:uid="{00000000-0005-0000-0000-000053260000}"/>
    <cellStyle name="Input 16 2 2" xfId="9812" xr:uid="{00000000-0005-0000-0000-000054260000}"/>
    <cellStyle name="Input 16 2 2 2" xfId="9813" xr:uid="{00000000-0005-0000-0000-000055260000}"/>
    <cellStyle name="Input 16 2 3" xfId="9814" xr:uid="{00000000-0005-0000-0000-000056260000}"/>
    <cellStyle name="Input 16 3" xfId="9815" xr:uid="{00000000-0005-0000-0000-000057260000}"/>
    <cellStyle name="Input 16 3 2" xfId="9816" xr:uid="{00000000-0005-0000-0000-000058260000}"/>
    <cellStyle name="Input 16 4" xfId="9817" xr:uid="{00000000-0005-0000-0000-000059260000}"/>
    <cellStyle name="Input 160" xfId="9818" xr:uid="{00000000-0005-0000-0000-00005A260000}"/>
    <cellStyle name="Input 161" xfId="9819" xr:uid="{00000000-0005-0000-0000-00005B260000}"/>
    <cellStyle name="Input 162" xfId="9820" xr:uid="{00000000-0005-0000-0000-00005C260000}"/>
    <cellStyle name="Input 163" xfId="9821" xr:uid="{00000000-0005-0000-0000-00005D260000}"/>
    <cellStyle name="Input 164" xfId="9822" xr:uid="{00000000-0005-0000-0000-00005E260000}"/>
    <cellStyle name="Input 165" xfId="9823" xr:uid="{00000000-0005-0000-0000-00005F260000}"/>
    <cellStyle name="Input 166" xfId="9824" xr:uid="{00000000-0005-0000-0000-000060260000}"/>
    <cellStyle name="Input 167" xfId="9825" xr:uid="{00000000-0005-0000-0000-000061260000}"/>
    <cellStyle name="Input 168" xfId="9826" xr:uid="{00000000-0005-0000-0000-000062260000}"/>
    <cellStyle name="Input 169" xfId="9827" xr:uid="{00000000-0005-0000-0000-000063260000}"/>
    <cellStyle name="Input 17" xfId="9828" xr:uid="{00000000-0005-0000-0000-000064260000}"/>
    <cellStyle name="Input 17 2" xfId="9829" xr:uid="{00000000-0005-0000-0000-000065260000}"/>
    <cellStyle name="Input 17 2 2" xfId="9830" xr:uid="{00000000-0005-0000-0000-000066260000}"/>
    <cellStyle name="Input 17 2 2 2" xfId="9831" xr:uid="{00000000-0005-0000-0000-000067260000}"/>
    <cellStyle name="Input 17 2 3" xfId="9832" xr:uid="{00000000-0005-0000-0000-000068260000}"/>
    <cellStyle name="Input 17 3" xfId="9833" xr:uid="{00000000-0005-0000-0000-000069260000}"/>
    <cellStyle name="Input 17 3 2" xfId="9834" xr:uid="{00000000-0005-0000-0000-00006A260000}"/>
    <cellStyle name="Input 17 4" xfId="9835" xr:uid="{00000000-0005-0000-0000-00006B260000}"/>
    <cellStyle name="Input 170" xfId="9836" xr:uid="{00000000-0005-0000-0000-00006C260000}"/>
    <cellStyle name="Input 171" xfId="9837" xr:uid="{00000000-0005-0000-0000-00006D260000}"/>
    <cellStyle name="Input 172" xfId="9838" xr:uid="{00000000-0005-0000-0000-00006E260000}"/>
    <cellStyle name="Input 173" xfId="9839" xr:uid="{00000000-0005-0000-0000-00006F260000}"/>
    <cellStyle name="Input 174" xfId="9840" xr:uid="{00000000-0005-0000-0000-000070260000}"/>
    <cellStyle name="Input 175" xfId="9841" xr:uid="{00000000-0005-0000-0000-000071260000}"/>
    <cellStyle name="Input 176" xfId="9842" xr:uid="{00000000-0005-0000-0000-000072260000}"/>
    <cellStyle name="Input 177" xfId="9843" xr:uid="{00000000-0005-0000-0000-000073260000}"/>
    <cellStyle name="Input 178" xfId="9844" xr:uid="{00000000-0005-0000-0000-000074260000}"/>
    <cellStyle name="Input 179" xfId="9845" xr:uid="{00000000-0005-0000-0000-000075260000}"/>
    <cellStyle name="Input 18" xfId="9846" xr:uid="{00000000-0005-0000-0000-000076260000}"/>
    <cellStyle name="Input 18 2" xfId="9847" xr:uid="{00000000-0005-0000-0000-000077260000}"/>
    <cellStyle name="Input 18 2 2" xfId="9848" xr:uid="{00000000-0005-0000-0000-000078260000}"/>
    <cellStyle name="Input 18 2 2 2" xfId="9849" xr:uid="{00000000-0005-0000-0000-000079260000}"/>
    <cellStyle name="Input 18 2 3" xfId="9850" xr:uid="{00000000-0005-0000-0000-00007A260000}"/>
    <cellStyle name="Input 18 3" xfId="9851" xr:uid="{00000000-0005-0000-0000-00007B260000}"/>
    <cellStyle name="Input 18 3 2" xfId="9852" xr:uid="{00000000-0005-0000-0000-00007C260000}"/>
    <cellStyle name="Input 18 4" xfId="9853" xr:uid="{00000000-0005-0000-0000-00007D260000}"/>
    <cellStyle name="Input 19" xfId="9854" xr:uid="{00000000-0005-0000-0000-00007E260000}"/>
    <cellStyle name="Input 19 2" xfId="9855" xr:uid="{00000000-0005-0000-0000-00007F260000}"/>
    <cellStyle name="Input 19 2 2" xfId="9856" xr:uid="{00000000-0005-0000-0000-000080260000}"/>
    <cellStyle name="Input 19 2 2 2" xfId="9857" xr:uid="{00000000-0005-0000-0000-000081260000}"/>
    <cellStyle name="Input 19 2 3" xfId="9858" xr:uid="{00000000-0005-0000-0000-000082260000}"/>
    <cellStyle name="Input 19 3" xfId="9859" xr:uid="{00000000-0005-0000-0000-000083260000}"/>
    <cellStyle name="Input 19 3 2" xfId="9860" xr:uid="{00000000-0005-0000-0000-000084260000}"/>
    <cellStyle name="Input 19 4" xfId="9861" xr:uid="{00000000-0005-0000-0000-000085260000}"/>
    <cellStyle name="Input 2" xfId="9862" xr:uid="{00000000-0005-0000-0000-000086260000}"/>
    <cellStyle name="Input 2 10" xfId="9863" xr:uid="{00000000-0005-0000-0000-000087260000}"/>
    <cellStyle name="Input 2 10 2" xfId="9864" xr:uid="{00000000-0005-0000-0000-000088260000}"/>
    <cellStyle name="Input 2 10 3" xfId="9865" xr:uid="{00000000-0005-0000-0000-000089260000}"/>
    <cellStyle name="Input 2 11" xfId="9866" xr:uid="{00000000-0005-0000-0000-00008A260000}"/>
    <cellStyle name="Input 2 11 2" xfId="9867" xr:uid="{00000000-0005-0000-0000-00008B260000}"/>
    <cellStyle name="Input 2 12" xfId="9868" xr:uid="{00000000-0005-0000-0000-00008C260000}"/>
    <cellStyle name="Input 2 13" xfId="9869" xr:uid="{00000000-0005-0000-0000-00008D260000}"/>
    <cellStyle name="Input 2 2" xfId="9870" xr:uid="{00000000-0005-0000-0000-00008E260000}"/>
    <cellStyle name="Input 2 2 2" xfId="9871" xr:uid="{00000000-0005-0000-0000-00008F260000}"/>
    <cellStyle name="Input 2 2 2 2" xfId="9872" xr:uid="{00000000-0005-0000-0000-000090260000}"/>
    <cellStyle name="Input 2 2 3" xfId="9873" xr:uid="{00000000-0005-0000-0000-000091260000}"/>
    <cellStyle name="Input 2 2 3 2" xfId="9874" xr:uid="{00000000-0005-0000-0000-000092260000}"/>
    <cellStyle name="Input 2 2 3 2 2" xfId="9875" xr:uid="{00000000-0005-0000-0000-000093260000}"/>
    <cellStyle name="Input 2 2 3 3" xfId="9876" xr:uid="{00000000-0005-0000-0000-000094260000}"/>
    <cellStyle name="Input 2 2 4" xfId="9877" xr:uid="{00000000-0005-0000-0000-000095260000}"/>
    <cellStyle name="Input 2 3" xfId="9878" xr:uid="{00000000-0005-0000-0000-000096260000}"/>
    <cellStyle name="Input 2 3 2" xfId="9879" xr:uid="{00000000-0005-0000-0000-000097260000}"/>
    <cellStyle name="Input 2 3 2 2" xfId="9880" xr:uid="{00000000-0005-0000-0000-000098260000}"/>
    <cellStyle name="Input 2 3 2 2 2" xfId="9881" xr:uid="{00000000-0005-0000-0000-000099260000}"/>
    <cellStyle name="Input 2 3 2 3" xfId="9882" xr:uid="{00000000-0005-0000-0000-00009A260000}"/>
    <cellStyle name="Input 2 3 3" xfId="9883" xr:uid="{00000000-0005-0000-0000-00009B260000}"/>
    <cellStyle name="Input 2 3 3 2" xfId="9884" xr:uid="{00000000-0005-0000-0000-00009C260000}"/>
    <cellStyle name="Input 2 3 3 2 2" xfId="9885" xr:uid="{00000000-0005-0000-0000-00009D260000}"/>
    <cellStyle name="Input 2 3 3 2 2 2" xfId="9886" xr:uid="{00000000-0005-0000-0000-00009E260000}"/>
    <cellStyle name="Input 2 3 3 2 3" xfId="9887" xr:uid="{00000000-0005-0000-0000-00009F260000}"/>
    <cellStyle name="Input 2 3 3 3" xfId="9888" xr:uid="{00000000-0005-0000-0000-0000A0260000}"/>
    <cellStyle name="Input 2 3 3 3 2" xfId="9889" xr:uid="{00000000-0005-0000-0000-0000A1260000}"/>
    <cellStyle name="Input 2 3 3 4" xfId="9890" xr:uid="{00000000-0005-0000-0000-0000A2260000}"/>
    <cellStyle name="Input 2 3 4" xfId="9891" xr:uid="{00000000-0005-0000-0000-0000A3260000}"/>
    <cellStyle name="Input 2 3 4 2" xfId="9892" xr:uid="{00000000-0005-0000-0000-0000A4260000}"/>
    <cellStyle name="Input 2 3 5" xfId="9893" xr:uid="{00000000-0005-0000-0000-0000A5260000}"/>
    <cellStyle name="Input 2 4" xfId="9894" xr:uid="{00000000-0005-0000-0000-0000A6260000}"/>
    <cellStyle name="Input 2 4 2" xfId="9895" xr:uid="{00000000-0005-0000-0000-0000A7260000}"/>
    <cellStyle name="Input 2 4 2 2" xfId="9896" xr:uid="{00000000-0005-0000-0000-0000A8260000}"/>
    <cellStyle name="Input 2 4 2 2 2" xfId="9897" xr:uid="{00000000-0005-0000-0000-0000A9260000}"/>
    <cellStyle name="Input 2 4 2 3" xfId="9898" xr:uid="{00000000-0005-0000-0000-0000AA260000}"/>
    <cellStyle name="Input 2 4 3" xfId="9899" xr:uid="{00000000-0005-0000-0000-0000AB260000}"/>
    <cellStyle name="Input 2 4 3 2" xfId="9900" xr:uid="{00000000-0005-0000-0000-0000AC260000}"/>
    <cellStyle name="Input 2 4 4" xfId="9901" xr:uid="{00000000-0005-0000-0000-0000AD260000}"/>
    <cellStyle name="Input 2 5" xfId="9902" xr:uid="{00000000-0005-0000-0000-0000AE260000}"/>
    <cellStyle name="Input 2 5 2" xfId="9903" xr:uid="{00000000-0005-0000-0000-0000AF260000}"/>
    <cellStyle name="Input 2 5 2 2" xfId="9904" xr:uid="{00000000-0005-0000-0000-0000B0260000}"/>
    <cellStyle name="Input 2 5 3" xfId="9905" xr:uid="{00000000-0005-0000-0000-0000B1260000}"/>
    <cellStyle name="Input 2 5 3 2" xfId="9906" xr:uid="{00000000-0005-0000-0000-0000B2260000}"/>
    <cellStyle name="Input 2 5 3 2 2" xfId="9907" xr:uid="{00000000-0005-0000-0000-0000B3260000}"/>
    <cellStyle name="Input 2 5 3 3" xfId="9908" xr:uid="{00000000-0005-0000-0000-0000B4260000}"/>
    <cellStyle name="Input 2 5 4" xfId="9909" xr:uid="{00000000-0005-0000-0000-0000B5260000}"/>
    <cellStyle name="Input 2 6" xfId="9910" xr:uid="{00000000-0005-0000-0000-0000B6260000}"/>
    <cellStyle name="Input 2 6 2" xfId="9911" xr:uid="{00000000-0005-0000-0000-0000B7260000}"/>
    <cellStyle name="Input 2 6 2 2" xfId="9912" xr:uid="{00000000-0005-0000-0000-0000B8260000}"/>
    <cellStyle name="Input 2 6 2 2 2" xfId="9913" xr:uid="{00000000-0005-0000-0000-0000B9260000}"/>
    <cellStyle name="Input 2 6 2 3" xfId="9914" xr:uid="{00000000-0005-0000-0000-0000BA260000}"/>
    <cellStyle name="Input 2 6 3" xfId="9915" xr:uid="{00000000-0005-0000-0000-0000BB260000}"/>
    <cellStyle name="Input 2 6 3 2" xfId="9916" xr:uid="{00000000-0005-0000-0000-0000BC260000}"/>
    <cellStyle name="Input 2 6 3 2 2" xfId="9917" xr:uid="{00000000-0005-0000-0000-0000BD260000}"/>
    <cellStyle name="Input 2 6 3 2 2 2" xfId="9918" xr:uid="{00000000-0005-0000-0000-0000BE260000}"/>
    <cellStyle name="Input 2 6 3 2 2 2 2" xfId="9919" xr:uid="{00000000-0005-0000-0000-0000BF260000}"/>
    <cellStyle name="Input 2 6 3 2 2 3" xfId="9920" xr:uid="{00000000-0005-0000-0000-0000C0260000}"/>
    <cellStyle name="Input 2 6 3 2 3" xfId="9921" xr:uid="{00000000-0005-0000-0000-0000C1260000}"/>
    <cellStyle name="Input 2 6 3 2 3 2" xfId="9922" xr:uid="{00000000-0005-0000-0000-0000C2260000}"/>
    <cellStyle name="Input 2 6 3 2 4" xfId="9923" xr:uid="{00000000-0005-0000-0000-0000C3260000}"/>
    <cellStyle name="Input 2 6 3 3" xfId="9924" xr:uid="{00000000-0005-0000-0000-0000C4260000}"/>
    <cellStyle name="Input 2 6 3 3 2" xfId="9925" xr:uid="{00000000-0005-0000-0000-0000C5260000}"/>
    <cellStyle name="Input 2 6 3 3 2 2" xfId="9926" xr:uid="{00000000-0005-0000-0000-0000C6260000}"/>
    <cellStyle name="Input 2 6 3 3 3" xfId="9927" xr:uid="{00000000-0005-0000-0000-0000C7260000}"/>
    <cellStyle name="Input 2 6 3 4" xfId="9928" xr:uid="{00000000-0005-0000-0000-0000C8260000}"/>
    <cellStyle name="Input 2 6 3 4 2" xfId="9929" xr:uid="{00000000-0005-0000-0000-0000C9260000}"/>
    <cellStyle name="Input 2 6 3 5" xfId="9930" xr:uid="{00000000-0005-0000-0000-0000CA260000}"/>
    <cellStyle name="Input 2 6 4" xfId="9931" xr:uid="{00000000-0005-0000-0000-0000CB260000}"/>
    <cellStyle name="Input 2 6 4 2" xfId="9932" xr:uid="{00000000-0005-0000-0000-0000CC260000}"/>
    <cellStyle name="Input 2 6 4 2 2" xfId="9933" xr:uid="{00000000-0005-0000-0000-0000CD260000}"/>
    <cellStyle name="Input 2 6 4 2 2 2" xfId="9934" xr:uid="{00000000-0005-0000-0000-0000CE260000}"/>
    <cellStyle name="Input 2 6 4 2 3" xfId="9935" xr:uid="{00000000-0005-0000-0000-0000CF260000}"/>
    <cellStyle name="Input 2 6 4 3" xfId="9936" xr:uid="{00000000-0005-0000-0000-0000D0260000}"/>
    <cellStyle name="Input 2 6 4 3 2" xfId="9937" xr:uid="{00000000-0005-0000-0000-0000D1260000}"/>
    <cellStyle name="Input 2 6 4 4" xfId="9938" xr:uid="{00000000-0005-0000-0000-0000D2260000}"/>
    <cellStyle name="Input 2 6 5" xfId="9939" xr:uid="{00000000-0005-0000-0000-0000D3260000}"/>
    <cellStyle name="Input 2 6 5 2" xfId="9940" xr:uid="{00000000-0005-0000-0000-0000D4260000}"/>
    <cellStyle name="Input 2 6 5 2 2" xfId="9941" xr:uid="{00000000-0005-0000-0000-0000D5260000}"/>
    <cellStyle name="Input 2 6 5 3" xfId="9942" xr:uid="{00000000-0005-0000-0000-0000D6260000}"/>
    <cellStyle name="Input 2 6 6" xfId="9943" xr:uid="{00000000-0005-0000-0000-0000D7260000}"/>
    <cellStyle name="Input 2 6 6 2" xfId="9944" xr:uid="{00000000-0005-0000-0000-0000D8260000}"/>
    <cellStyle name="Input 2 6 7" xfId="9945" xr:uid="{00000000-0005-0000-0000-0000D9260000}"/>
    <cellStyle name="Input 2 7" xfId="9946" xr:uid="{00000000-0005-0000-0000-0000DA260000}"/>
    <cellStyle name="Input 2 7 2" xfId="9947" xr:uid="{00000000-0005-0000-0000-0000DB260000}"/>
    <cellStyle name="Input 2 7 2 2" xfId="9948" xr:uid="{00000000-0005-0000-0000-0000DC260000}"/>
    <cellStyle name="Input 2 7 3" xfId="9949" xr:uid="{00000000-0005-0000-0000-0000DD260000}"/>
    <cellStyle name="Input 2 8" xfId="9950" xr:uid="{00000000-0005-0000-0000-0000DE260000}"/>
    <cellStyle name="Input 2 8 2" xfId="9951" xr:uid="{00000000-0005-0000-0000-0000DF260000}"/>
    <cellStyle name="Input 2 8 2 2" xfId="9952" xr:uid="{00000000-0005-0000-0000-0000E0260000}"/>
    <cellStyle name="Input 2 8 2 2 2" xfId="9953" xr:uid="{00000000-0005-0000-0000-0000E1260000}"/>
    <cellStyle name="Input 2 8 2 3" xfId="9954" xr:uid="{00000000-0005-0000-0000-0000E2260000}"/>
    <cellStyle name="Input 2 8 3" xfId="9955" xr:uid="{00000000-0005-0000-0000-0000E3260000}"/>
    <cellStyle name="Input 2 8 3 2" xfId="9956" xr:uid="{00000000-0005-0000-0000-0000E4260000}"/>
    <cellStyle name="Input 2 8 4" xfId="9957" xr:uid="{00000000-0005-0000-0000-0000E5260000}"/>
    <cellStyle name="Input 2 9" xfId="9958" xr:uid="{00000000-0005-0000-0000-0000E6260000}"/>
    <cellStyle name="Input 2 9 2" xfId="9959" xr:uid="{00000000-0005-0000-0000-0000E7260000}"/>
    <cellStyle name="Input 2 9 2 2" xfId="9960" xr:uid="{00000000-0005-0000-0000-0000E8260000}"/>
    <cellStyle name="Input 2 9 2 2 2" xfId="9961" xr:uid="{00000000-0005-0000-0000-0000E9260000}"/>
    <cellStyle name="Input 2 9 2 3" xfId="9962" xr:uid="{00000000-0005-0000-0000-0000EA260000}"/>
    <cellStyle name="Input 2 9 3" xfId="9963" xr:uid="{00000000-0005-0000-0000-0000EB260000}"/>
    <cellStyle name="Input 2 9 3 2" xfId="9964" xr:uid="{00000000-0005-0000-0000-0000EC260000}"/>
    <cellStyle name="Input 2 9 4" xfId="9965" xr:uid="{00000000-0005-0000-0000-0000ED260000}"/>
    <cellStyle name="Input 20" xfId="9966" xr:uid="{00000000-0005-0000-0000-0000EE260000}"/>
    <cellStyle name="Input 20 2" xfId="9967" xr:uid="{00000000-0005-0000-0000-0000EF260000}"/>
    <cellStyle name="Input 20 2 2" xfId="9968" xr:uid="{00000000-0005-0000-0000-0000F0260000}"/>
    <cellStyle name="Input 20 2 2 2" xfId="9969" xr:uid="{00000000-0005-0000-0000-0000F1260000}"/>
    <cellStyle name="Input 20 2 3" xfId="9970" xr:uid="{00000000-0005-0000-0000-0000F2260000}"/>
    <cellStyle name="Input 20 3" xfId="9971" xr:uid="{00000000-0005-0000-0000-0000F3260000}"/>
    <cellStyle name="Input 20 3 2" xfId="9972" xr:uid="{00000000-0005-0000-0000-0000F4260000}"/>
    <cellStyle name="Input 20 4" xfId="9973" xr:uid="{00000000-0005-0000-0000-0000F5260000}"/>
    <cellStyle name="Input 21" xfId="9974" xr:uid="{00000000-0005-0000-0000-0000F6260000}"/>
    <cellStyle name="Input 21 2" xfId="9975" xr:uid="{00000000-0005-0000-0000-0000F7260000}"/>
    <cellStyle name="Input 21 2 2" xfId="9976" xr:uid="{00000000-0005-0000-0000-0000F8260000}"/>
    <cellStyle name="Input 21 2 2 2" xfId="9977" xr:uid="{00000000-0005-0000-0000-0000F9260000}"/>
    <cellStyle name="Input 21 2 3" xfId="9978" xr:uid="{00000000-0005-0000-0000-0000FA260000}"/>
    <cellStyle name="Input 21 3" xfId="9979" xr:uid="{00000000-0005-0000-0000-0000FB260000}"/>
    <cellStyle name="Input 21 3 2" xfId="9980" xr:uid="{00000000-0005-0000-0000-0000FC260000}"/>
    <cellStyle name="Input 21 4" xfId="9981" xr:uid="{00000000-0005-0000-0000-0000FD260000}"/>
    <cellStyle name="Input 22" xfId="9982" xr:uid="{00000000-0005-0000-0000-0000FE260000}"/>
    <cellStyle name="Input 22 2" xfId="9983" xr:uid="{00000000-0005-0000-0000-0000FF260000}"/>
    <cellStyle name="Input 22 2 2" xfId="9984" xr:uid="{00000000-0005-0000-0000-000000270000}"/>
    <cellStyle name="Input 22 2 2 2" xfId="9985" xr:uid="{00000000-0005-0000-0000-000001270000}"/>
    <cellStyle name="Input 22 2 3" xfId="9986" xr:uid="{00000000-0005-0000-0000-000002270000}"/>
    <cellStyle name="Input 22 3" xfId="9987" xr:uid="{00000000-0005-0000-0000-000003270000}"/>
    <cellStyle name="Input 22 3 2" xfId="9988" xr:uid="{00000000-0005-0000-0000-000004270000}"/>
    <cellStyle name="Input 22 4" xfId="9989" xr:uid="{00000000-0005-0000-0000-000005270000}"/>
    <cellStyle name="Input 23" xfId="9990" xr:uid="{00000000-0005-0000-0000-000006270000}"/>
    <cellStyle name="Input 23 2" xfId="9991" xr:uid="{00000000-0005-0000-0000-000007270000}"/>
    <cellStyle name="Input 23 2 2" xfId="9992" xr:uid="{00000000-0005-0000-0000-000008270000}"/>
    <cellStyle name="Input 23 2 2 2" xfId="9993" xr:uid="{00000000-0005-0000-0000-000009270000}"/>
    <cellStyle name="Input 23 2 3" xfId="9994" xr:uid="{00000000-0005-0000-0000-00000A270000}"/>
    <cellStyle name="Input 23 3" xfId="9995" xr:uid="{00000000-0005-0000-0000-00000B270000}"/>
    <cellStyle name="Input 23 3 2" xfId="9996" xr:uid="{00000000-0005-0000-0000-00000C270000}"/>
    <cellStyle name="Input 23 4" xfId="9997" xr:uid="{00000000-0005-0000-0000-00000D270000}"/>
    <cellStyle name="Input 24" xfId="9998" xr:uid="{00000000-0005-0000-0000-00000E270000}"/>
    <cellStyle name="Input 24 2" xfId="9999" xr:uid="{00000000-0005-0000-0000-00000F270000}"/>
    <cellStyle name="Input 24 2 2" xfId="10000" xr:uid="{00000000-0005-0000-0000-000010270000}"/>
    <cellStyle name="Input 24 2 2 2" xfId="10001" xr:uid="{00000000-0005-0000-0000-000011270000}"/>
    <cellStyle name="Input 24 2 3" xfId="10002" xr:uid="{00000000-0005-0000-0000-000012270000}"/>
    <cellStyle name="Input 24 3" xfId="10003" xr:uid="{00000000-0005-0000-0000-000013270000}"/>
    <cellStyle name="Input 24 3 2" xfId="10004" xr:uid="{00000000-0005-0000-0000-000014270000}"/>
    <cellStyle name="Input 24 4" xfId="10005" xr:uid="{00000000-0005-0000-0000-000015270000}"/>
    <cellStyle name="Input 25" xfId="10006" xr:uid="{00000000-0005-0000-0000-000016270000}"/>
    <cellStyle name="Input 25 2" xfId="10007" xr:uid="{00000000-0005-0000-0000-000017270000}"/>
    <cellStyle name="Input 25 2 2" xfId="10008" xr:uid="{00000000-0005-0000-0000-000018270000}"/>
    <cellStyle name="Input 25 2 2 2" xfId="10009" xr:uid="{00000000-0005-0000-0000-000019270000}"/>
    <cellStyle name="Input 25 2 3" xfId="10010" xr:uid="{00000000-0005-0000-0000-00001A270000}"/>
    <cellStyle name="Input 25 3" xfId="10011" xr:uid="{00000000-0005-0000-0000-00001B270000}"/>
    <cellStyle name="Input 25 3 2" xfId="10012" xr:uid="{00000000-0005-0000-0000-00001C270000}"/>
    <cellStyle name="Input 25 4" xfId="10013" xr:uid="{00000000-0005-0000-0000-00001D270000}"/>
    <cellStyle name="Input 26" xfId="10014" xr:uid="{00000000-0005-0000-0000-00001E270000}"/>
    <cellStyle name="Input 26 2" xfId="10015" xr:uid="{00000000-0005-0000-0000-00001F270000}"/>
    <cellStyle name="Input 26 2 2" xfId="10016" xr:uid="{00000000-0005-0000-0000-000020270000}"/>
    <cellStyle name="Input 26 2 2 2" xfId="10017" xr:uid="{00000000-0005-0000-0000-000021270000}"/>
    <cellStyle name="Input 26 2 3" xfId="10018" xr:uid="{00000000-0005-0000-0000-000022270000}"/>
    <cellStyle name="Input 26 3" xfId="10019" xr:uid="{00000000-0005-0000-0000-000023270000}"/>
    <cellStyle name="Input 26 3 2" xfId="10020" xr:uid="{00000000-0005-0000-0000-000024270000}"/>
    <cellStyle name="Input 26 4" xfId="10021" xr:uid="{00000000-0005-0000-0000-000025270000}"/>
    <cellStyle name="Input 27" xfId="10022" xr:uid="{00000000-0005-0000-0000-000026270000}"/>
    <cellStyle name="Input 27 2" xfId="10023" xr:uid="{00000000-0005-0000-0000-000027270000}"/>
    <cellStyle name="Input 27 2 2" xfId="10024" xr:uid="{00000000-0005-0000-0000-000028270000}"/>
    <cellStyle name="Input 27 2 2 2" xfId="10025" xr:uid="{00000000-0005-0000-0000-000029270000}"/>
    <cellStyle name="Input 27 2 3" xfId="10026" xr:uid="{00000000-0005-0000-0000-00002A270000}"/>
    <cellStyle name="Input 27 3" xfId="10027" xr:uid="{00000000-0005-0000-0000-00002B270000}"/>
    <cellStyle name="Input 27 3 2" xfId="10028" xr:uid="{00000000-0005-0000-0000-00002C270000}"/>
    <cellStyle name="Input 27 4" xfId="10029" xr:uid="{00000000-0005-0000-0000-00002D270000}"/>
    <cellStyle name="Input 28" xfId="10030" xr:uid="{00000000-0005-0000-0000-00002E270000}"/>
    <cellStyle name="Input 28 2" xfId="10031" xr:uid="{00000000-0005-0000-0000-00002F270000}"/>
    <cellStyle name="Input 28 2 2" xfId="10032" xr:uid="{00000000-0005-0000-0000-000030270000}"/>
    <cellStyle name="Input 28 2 2 2" xfId="10033" xr:uid="{00000000-0005-0000-0000-000031270000}"/>
    <cellStyle name="Input 28 2 3" xfId="10034" xr:uid="{00000000-0005-0000-0000-000032270000}"/>
    <cellStyle name="Input 28 3" xfId="10035" xr:uid="{00000000-0005-0000-0000-000033270000}"/>
    <cellStyle name="Input 28 3 2" xfId="10036" xr:uid="{00000000-0005-0000-0000-000034270000}"/>
    <cellStyle name="Input 28 4" xfId="10037" xr:uid="{00000000-0005-0000-0000-000035270000}"/>
    <cellStyle name="Input 29" xfId="10038" xr:uid="{00000000-0005-0000-0000-000036270000}"/>
    <cellStyle name="Input 29 2" xfId="10039" xr:uid="{00000000-0005-0000-0000-000037270000}"/>
    <cellStyle name="Input 29 2 2" xfId="10040" xr:uid="{00000000-0005-0000-0000-000038270000}"/>
    <cellStyle name="Input 29 2 2 2" xfId="10041" xr:uid="{00000000-0005-0000-0000-000039270000}"/>
    <cellStyle name="Input 29 2 3" xfId="10042" xr:uid="{00000000-0005-0000-0000-00003A270000}"/>
    <cellStyle name="Input 29 3" xfId="10043" xr:uid="{00000000-0005-0000-0000-00003B270000}"/>
    <cellStyle name="Input 29 3 2" xfId="10044" xr:uid="{00000000-0005-0000-0000-00003C270000}"/>
    <cellStyle name="Input 29 4" xfId="10045" xr:uid="{00000000-0005-0000-0000-00003D270000}"/>
    <cellStyle name="Input 3" xfId="10046" xr:uid="{00000000-0005-0000-0000-00003E270000}"/>
    <cellStyle name="Input 3 10" xfId="10047" xr:uid="{00000000-0005-0000-0000-00003F270000}"/>
    <cellStyle name="Input 3 10 2" xfId="10048" xr:uid="{00000000-0005-0000-0000-000040270000}"/>
    <cellStyle name="Input 3 10 2 2" xfId="10049" xr:uid="{00000000-0005-0000-0000-000041270000}"/>
    <cellStyle name="Input 3 10 3" xfId="10050" xr:uid="{00000000-0005-0000-0000-000042270000}"/>
    <cellStyle name="Input 3 11" xfId="10051" xr:uid="{00000000-0005-0000-0000-000043270000}"/>
    <cellStyle name="Input 3 11 2" xfId="10052" xr:uid="{00000000-0005-0000-0000-000044270000}"/>
    <cellStyle name="Input 3 12" xfId="10053" xr:uid="{00000000-0005-0000-0000-000045270000}"/>
    <cellStyle name="Input 3 2" xfId="10054" xr:uid="{00000000-0005-0000-0000-000046270000}"/>
    <cellStyle name="Input 3 2 2" xfId="10055" xr:uid="{00000000-0005-0000-0000-000047270000}"/>
    <cellStyle name="Input 3 2 2 2" xfId="10056" xr:uid="{00000000-0005-0000-0000-000048270000}"/>
    <cellStyle name="Input 3 2 3" xfId="10057" xr:uid="{00000000-0005-0000-0000-000049270000}"/>
    <cellStyle name="Input 3 2 3 2" xfId="10058" xr:uid="{00000000-0005-0000-0000-00004A270000}"/>
    <cellStyle name="Input 3 2 3 2 2" xfId="10059" xr:uid="{00000000-0005-0000-0000-00004B270000}"/>
    <cellStyle name="Input 3 2 3 3" xfId="10060" xr:uid="{00000000-0005-0000-0000-00004C270000}"/>
    <cellStyle name="Input 3 2 4" xfId="10061" xr:uid="{00000000-0005-0000-0000-00004D270000}"/>
    <cellStyle name="Input 3 3" xfId="10062" xr:uid="{00000000-0005-0000-0000-00004E270000}"/>
    <cellStyle name="Input 3 3 2" xfId="10063" xr:uid="{00000000-0005-0000-0000-00004F270000}"/>
    <cellStyle name="Input 3 3 2 2" xfId="10064" xr:uid="{00000000-0005-0000-0000-000050270000}"/>
    <cellStyle name="Input 3 3 2 2 2" xfId="10065" xr:uid="{00000000-0005-0000-0000-000051270000}"/>
    <cellStyle name="Input 3 3 2 3" xfId="10066" xr:uid="{00000000-0005-0000-0000-000052270000}"/>
    <cellStyle name="Input 3 3 3" xfId="10067" xr:uid="{00000000-0005-0000-0000-000053270000}"/>
    <cellStyle name="Input 3 3 3 2" xfId="10068" xr:uid="{00000000-0005-0000-0000-000054270000}"/>
    <cellStyle name="Input 3 3 3 2 2" xfId="10069" xr:uid="{00000000-0005-0000-0000-000055270000}"/>
    <cellStyle name="Input 3 3 3 2 2 2" xfId="10070" xr:uid="{00000000-0005-0000-0000-000056270000}"/>
    <cellStyle name="Input 3 3 3 2 3" xfId="10071" xr:uid="{00000000-0005-0000-0000-000057270000}"/>
    <cellStyle name="Input 3 3 3 3" xfId="10072" xr:uid="{00000000-0005-0000-0000-000058270000}"/>
    <cellStyle name="Input 3 3 3 3 2" xfId="10073" xr:uid="{00000000-0005-0000-0000-000059270000}"/>
    <cellStyle name="Input 3 3 3 4" xfId="10074" xr:uid="{00000000-0005-0000-0000-00005A270000}"/>
    <cellStyle name="Input 3 3 4" xfId="10075" xr:uid="{00000000-0005-0000-0000-00005B270000}"/>
    <cellStyle name="Input 3 3 4 2" xfId="10076" xr:uid="{00000000-0005-0000-0000-00005C270000}"/>
    <cellStyle name="Input 3 3 5" xfId="10077" xr:uid="{00000000-0005-0000-0000-00005D270000}"/>
    <cellStyle name="Input 3 4" xfId="10078" xr:uid="{00000000-0005-0000-0000-00005E270000}"/>
    <cellStyle name="Input 3 4 2" xfId="10079" xr:uid="{00000000-0005-0000-0000-00005F270000}"/>
    <cellStyle name="Input 3 4 2 2" xfId="10080" xr:uid="{00000000-0005-0000-0000-000060270000}"/>
    <cellStyle name="Input 3 4 2 2 2" xfId="10081" xr:uid="{00000000-0005-0000-0000-000061270000}"/>
    <cellStyle name="Input 3 4 2 3" xfId="10082" xr:uid="{00000000-0005-0000-0000-000062270000}"/>
    <cellStyle name="Input 3 4 3" xfId="10083" xr:uid="{00000000-0005-0000-0000-000063270000}"/>
    <cellStyle name="Input 3 4 3 2" xfId="10084" xr:uid="{00000000-0005-0000-0000-000064270000}"/>
    <cellStyle name="Input 3 4 4" xfId="10085" xr:uid="{00000000-0005-0000-0000-000065270000}"/>
    <cellStyle name="Input 3 5" xfId="10086" xr:uid="{00000000-0005-0000-0000-000066270000}"/>
    <cellStyle name="Input 3 5 2" xfId="10087" xr:uid="{00000000-0005-0000-0000-000067270000}"/>
    <cellStyle name="Input 3 5 2 2" xfId="10088" xr:uid="{00000000-0005-0000-0000-000068270000}"/>
    <cellStyle name="Input 3 5 2 2 2" xfId="10089" xr:uid="{00000000-0005-0000-0000-000069270000}"/>
    <cellStyle name="Input 3 5 2 3" xfId="10090" xr:uid="{00000000-0005-0000-0000-00006A270000}"/>
    <cellStyle name="Input 3 5 3" xfId="10091" xr:uid="{00000000-0005-0000-0000-00006B270000}"/>
    <cellStyle name="Input 3 5 3 2" xfId="10092" xr:uid="{00000000-0005-0000-0000-00006C270000}"/>
    <cellStyle name="Input 3 5 3 2 2" xfId="10093" xr:uid="{00000000-0005-0000-0000-00006D270000}"/>
    <cellStyle name="Input 3 5 3 2 2 2" xfId="10094" xr:uid="{00000000-0005-0000-0000-00006E270000}"/>
    <cellStyle name="Input 3 5 3 2 3" xfId="10095" xr:uid="{00000000-0005-0000-0000-00006F270000}"/>
    <cellStyle name="Input 3 5 3 3" xfId="10096" xr:uid="{00000000-0005-0000-0000-000070270000}"/>
    <cellStyle name="Input 3 5 3 3 2" xfId="10097" xr:uid="{00000000-0005-0000-0000-000071270000}"/>
    <cellStyle name="Input 3 5 3 4" xfId="10098" xr:uid="{00000000-0005-0000-0000-000072270000}"/>
    <cellStyle name="Input 3 5 4" xfId="10099" xr:uid="{00000000-0005-0000-0000-000073270000}"/>
    <cellStyle name="Input 3 5 4 2" xfId="10100" xr:uid="{00000000-0005-0000-0000-000074270000}"/>
    <cellStyle name="Input 3 5 5" xfId="10101" xr:uid="{00000000-0005-0000-0000-000075270000}"/>
    <cellStyle name="Input 3 6" xfId="10102" xr:uid="{00000000-0005-0000-0000-000076270000}"/>
    <cellStyle name="Input 3 6 2" xfId="10103" xr:uid="{00000000-0005-0000-0000-000077270000}"/>
    <cellStyle name="Input 3 6 2 2" xfId="10104" xr:uid="{00000000-0005-0000-0000-000078270000}"/>
    <cellStyle name="Input 3 6 3" xfId="10105" xr:uid="{00000000-0005-0000-0000-000079270000}"/>
    <cellStyle name="Input 3 7" xfId="10106" xr:uid="{00000000-0005-0000-0000-00007A270000}"/>
    <cellStyle name="Input 3 7 2" xfId="10107" xr:uid="{00000000-0005-0000-0000-00007B270000}"/>
    <cellStyle name="Input 3 7 2 2" xfId="10108" xr:uid="{00000000-0005-0000-0000-00007C270000}"/>
    <cellStyle name="Input 3 7 3" xfId="10109" xr:uid="{00000000-0005-0000-0000-00007D270000}"/>
    <cellStyle name="Input 3 8" xfId="10110" xr:uid="{00000000-0005-0000-0000-00007E270000}"/>
    <cellStyle name="Input 3 8 2" xfId="10111" xr:uid="{00000000-0005-0000-0000-00007F270000}"/>
    <cellStyle name="Input 3 8 2 2" xfId="10112" xr:uid="{00000000-0005-0000-0000-000080270000}"/>
    <cellStyle name="Input 3 8 2 2 2" xfId="10113" xr:uid="{00000000-0005-0000-0000-000081270000}"/>
    <cellStyle name="Input 3 8 2 3" xfId="10114" xr:uid="{00000000-0005-0000-0000-000082270000}"/>
    <cellStyle name="Input 3 8 3" xfId="10115" xr:uid="{00000000-0005-0000-0000-000083270000}"/>
    <cellStyle name="Input 3 8 3 2" xfId="10116" xr:uid="{00000000-0005-0000-0000-000084270000}"/>
    <cellStyle name="Input 3 8 4" xfId="10117" xr:uid="{00000000-0005-0000-0000-000085270000}"/>
    <cellStyle name="Input 3 9" xfId="10118" xr:uid="{00000000-0005-0000-0000-000086270000}"/>
    <cellStyle name="Input 3 9 2" xfId="10119" xr:uid="{00000000-0005-0000-0000-000087270000}"/>
    <cellStyle name="Input 3 9 2 2" xfId="10120" xr:uid="{00000000-0005-0000-0000-000088270000}"/>
    <cellStyle name="Input 3 9 2 2 2" xfId="10121" xr:uid="{00000000-0005-0000-0000-000089270000}"/>
    <cellStyle name="Input 3 9 2 2 2 2" xfId="10122" xr:uid="{00000000-0005-0000-0000-00008A270000}"/>
    <cellStyle name="Input 3 9 2 2 2 2 2" xfId="10123" xr:uid="{00000000-0005-0000-0000-00008B270000}"/>
    <cellStyle name="Input 3 9 2 2 2 3" xfId="10124" xr:uid="{00000000-0005-0000-0000-00008C270000}"/>
    <cellStyle name="Input 3 9 2 2 3" xfId="10125" xr:uid="{00000000-0005-0000-0000-00008D270000}"/>
    <cellStyle name="Input 3 9 2 2 3 2" xfId="10126" xr:uid="{00000000-0005-0000-0000-00008E270000}"/>
    <cellStyle name="Input 3 9 2 2 4" xfId="10127" xr:uid="{00000000-0005-0000-0000-00008F270000}"/>
    <cellStyle name="Input 3 9 2 3" xfId="10128" xr:uid="{00000000-0005-0000-0000-000090270000}"/>
    <cellStyle name="Input 3 9 2 3 2" xfId="10129" xr:uid="{00000000-0005-0000-0000-000091270000}"/>
    <cellStyle name="Input 3 9 2 3 2 2" xfId="10130" xr:uid="{00000000-0005-0000-0000-000092270000}"/>
    <cellStyle name="Input 3 9 2 3 3" xfId="10131" xr:uid="{00000000-0005-0000-0000-000093270000}"/>
    <cellStyle name="Input 3 9 2 4" xfId="10132" xr:uid="{00000000-0005-0000-0000-000094270000}"/>
    <cellStyle name="Input 3 9 2 4 2" xfId="10133" xr:uid="{00000000-0005-0000-0000-000095270000}"/>
    <cellStyle name="Input 3 9 2 5" xfId="10134" xr:uid="{00000000-0005-0000-0000-000096270000}"/>
    <cellStyle name="Input 3 9 3" xfId="10135" xr:uid="{00000000-0005-0000-0000-000097270000}"/>
    <cellStyle name="Input 3 9 3 2" xfId="10136" xr:uid="{00000000-0005-0000-0000-000098270000}"/>
    <cellStyle name="Input 3 9 3 2 2" xfId="10137" xr:uid="{00000000-0005-0000-0000-000099270000}"/>
    <cellStyle name="Input 3 9 3 2 2 2" xfId="10138" xr:uid="{00000000-0005-0000-0000-00009A270000}"/>
    <cellStyle name="Input 3 9 3 2 3" xfId="10139" xr:uid="{00000000-0005-0000-0000-00009B270000}"/>
    <cellStyle name="Input 3 9 3 3" xfId="10140" xr:uid="{00000000-0005-0000-0000-00009C270000}"/>
    <cellStyle name="Input 3 9 3 3 2" xfId="10141" xr:uid="{00000000-0005-0000-0000-00009D270000}"/>
    <cellStyle name="Input 3 9 3 4" xfId="10142" xr:uid="{00000000-0005-0000-0000-00009E270000}"/>
    <cellStyle name="Input 3 9 4" xfId="10143" xr:uid="{00000000-0005-0000-0000-00009F270000}"/>
    <cellStyle name="Input 3 9 4 2" xfId="10144" xr:uid="{00000000-0005-0000-0000-0000A0270000}"/>
    <cellStyle name="Input 3 9 4 2 2" xfId="10145" xr:uid="{00000000-0005-0000-0000-0000A1270000}"/>
    <cellStyle name="Input 3 9 4 3" xfId="10146" xr:uid="{00000000-0005-0000-0000-0000A2270000}"/>
    <cellStyle name="Input 3 9 5" xfId="10147" xr:uid="{00000000-0005-0000-0000-0000A3270000}"/>
    <cellStyle name="Input 3 9 5 2" xfId="10148" xr:uid="{00000000-0005-0000-0000-0000A4270000}"/>
    <cellStyle name="Input 3 9 6" xfId="10149" xr:uid="{00000000-0005-0000-0000-0000A5270000}"/>
    <cellStyle name="Input 30" xfId="10150" xr:uid="{00000000-0005-0000-0000-0000A6270000}"/>
    <cellStyle name="Input 30 2" xfId="10151" xr:uid="{00000000-0005-0000-0000-0000A7270000}"/>
    <cellStyle name="Input 30 2 2" xfId="10152" xr:uid="{00000000-0005-0000-0000-0000A8270000}"/>
    <cellStyle name="Input 30 2 2 2" xfId="10153" xr:uid="{00000000-0005-0000-0000-0000A9270000}"/>
    <cellStyle name="Input 30 2 3" xfId="10154" xr:uid="{00000000-0005-0000-0000-0000AA270000}"/>
    <cellStyle name="Input 30 3" xfId="10155" xr:uid="{00000000-0005-0000-0000-0000AB270000}"/>
    <cellStyle name="Input 30 3 2" xfId="10156" xr:uid="{00000000-0005-0000-0000-0000AC270000}"/>
    <cellStyle name="Input 30 4" xfId="10157" xr:uid="{00000000-0005-0000-0000-0000AD270000}"/>
    <cellStyle name="Input 31" xfId="10158" xr:uid="{00000000-0005-0000-0000-0000AE270000}"/>
    <cellStyle name="Input 31 2" xfId="10159" xr:uid="{00000000-0005-0000-0000-0000AF270000}"/>
    <cellStyle name="Input 31 2 2" xfId="10160" xr:uid="{00000000-0005-0000-0000-0000B0270000}"/>
    <cellStyle name="Input 31 2 2 2" xfId="10161" xr:uid="{00000000-0005-0000-0000-0000B1270000}"/>
    <cellStyle name="Input 31 2 3" xfId="10162" xr:uid="{00000000-0005-0000-0000-0000B2270000}"/>
    <cellStyle name="Input 31 3" xfId="10163" xr:uid="{00000000-0005-0000-0000-0000B3270000}"/>
    <cellStyle name="Input 31 3 2" xfId="10164" xr:uid="{00000000-0005-0000-0000-0000B4270000}"/>
    <cellStyle name="Input 31 4" xfId="10165" xr:uid="{00000000-0005-0000-0000-0000B5270000}"/>
    <cellStyle name="Input 32" xfId="10166" xr:uid="{00000000-0005-0000-0000-0000B6270000}"/>
    <cellStyle name="Input 32 2" xfId="10167" xr:uid="{00000000-0005-0000-0000-0000B7270000}"/>
    <cellStyle name="Input 32 2 2" xfId="10168" xr:uid="{00000000-0005-0000-0000-0000B8270000}"/>
    <cellStyle name="Input 32 2 2 2" xfId="10169" xr:uid="{00000000-0005-0000-0000-0000B9270000}"/>
    <cellStyle name="Input 32 2 3" xfId="10170" xr:uid="{00000000-0005-0000-0000-0000BA270000}"/>
    <cellStyle name="Input 32 3" xfId="10171" xr:uid="{00000000-0005-0000-0000-0000BB270000}"/>
    <cellStyle name="Input 32 3 2" xfId="10172" xr:uid="{00000000-0005-0000-0000-0000BC270000}"/>
    <cellStyle name="Input 32 4" xfId="10173" xr:uid="{00000000-0005-0000-0000-0000BD270000}"/>
    <cellStyle name="Input 33" xfId="10174" xr:uid="{00000000-0005-0000-0000-0000BE270000}"/>
    <cellStyle name="Input 33 2" xfId="10175" xr:uid="{00000000-0005-0000-0000-0000BF270000}"/>
    <cellStyle name="Input 33 2 2" xfId="10176" xr:uid="{00000000-0005-0000-0000-0000C0270000}"/>
    <cellStyle name="Input 33 2 2 2" xfId="10177" xr:uid="{00000000-0005-0000-0000-0000C1270000}"/>
    <cellStyle name="Input 33 2 3" xfId="10178" xr:uid="{00000000-0005-0000-0000-0000C2270000}"/>
    <cellStyle name="Input 33 3" xfId="10179" xr:uid="{00000000-0005-0000-0000-0000C3270000}"/>
    <cellStyle name="Input 33 3 2" xfId="10180" xr:uid="{00000000-0005-0000-0000-0000C4270000}"/>
    <cellStyle name="Input 33 4" xfId="10181" xr:uid="{00000000-0005-0000-0000-0000C5270000}"/>
    <cellStyle name="Input 34" xfId="10182" xr:uid="{00000000-0005-0000-0000-0000C6270000}"/>
    <cellStyle name="Input 34 2" xfId="10183" xr:uid="{00000000-0005-0000-0000-0000C7270000}"/>
    <cellStyle name="Input 34 2 2" xfId="10184" xr:uid="{00000000-0005-0000-0000-0000C8270000}"/>
    <cellStyle name="Input 34 2 2 2" xfId="10185" xr:uid="{00000000-0005-0000-0000-0000C9270000}"/>
    <cellStyle name="Input 34 2 3" xfId="10186" xr:uid="{00000000-0005-0000-0000-0000CA270000}"/>
    <cellStyle name="Input 34 3" xfId="10187" xr:uid="{00000000-0005-0000-0000-0000CB270000}"/>
    <cellStyle name="Input 34 3 2" xfId="10188" xr:uid="{00000000-0005-0000-0000-0000CC270000}"/>
    <cellStyle name="Input 34 4" xfId="10189" xr:uid="{00000000-0005-0000-0000-0000CD270000}"/>
    <cellStyle name="Input 35" xfId="10190" xr:uid="{00000000-0005-0000-0000-0000CE270000}"/>
    <cellStyle name="Input 35 2" xfId="10191" xr:uid="{00000000-0005-0000-0000-0000CF270000}"/>
    <cellStyle name="Input 35 2 2" xfId="10192" xr:uid="{00000000-0005-0000-0000-0000D0270000}"/>
    <cellStyle name="Input 35 2 2 2" xfId="10193" xr:uid="{00000000-0005-0000-0000-0000D1270000}"/>
    <cellStyle name="Input 35 2 3" xfId="10194" xr:uid="{00000000-0005-0000-0000-0000D2270000}"/>
    <cellStyle name="Input 35 3" xfId="10195" xr:uid="{00000000-0005-0000-0000-0000D3270000}"/>
    <cellStyle name="Input 35 3 2" xfId="10196" xr:uid="{00000000-0005-0000-0000-0000D4270000}"/>
    <cellStyle name="Input 35 4" xfId="10197" xr:uid="{00000000-0005-0000-0000-0000D5270000}"/>
    <cellStyle name="Input 36" xfId="10198" xr:uid="{00000000-0005-0000-0000-0000D6270000}"/>
    <cellStyle name="Input 36 2" xfId="10199" xr:uid="{00000000-0005-0000-0000-0000D7270000}"/>
    <cellStyle name="Input 36 2 2" xfId="10200" xr:uid="{00000000-0005-0000-0000-0000D8270000}"/>
    <cellStyle name="Input 36 2 2 2" xfId="10201" xr:uid="{00000000-0005-0000-0000-0000D9270000}"/>
    <cellStyle name="Input 36 2 3" xfId="10202" xr:uid="{00000000-0005-0000-0000-0000DA270000}"/>
    <cellStyle name="Input 36 3" xfId="10203" xr:uid="{00000000-0005-0000-0000-0000DB270000}"/>
    <cellStyle name="Input 36 3 2" xfId="10204" xr:uid="{00000000-0005-0000-0000-0000DC270000}"/>
    <cellStyle name="Input 36 4" xfId="10205" xr:uid="{00000000-0005-0000-0000-0000DD270000}"/>
    <cellStyle name="Input 37" xfId="10206" xr:uid="{00000000-0005-0000-0000-0000DE270000}"/>
    <cellStyle name="Input 37 2" xfId="10207" xr:uid="{00000000-0005-0000-0000-0000DF270000}"/>
    <cellStyle name="Input 37 2 2" xfId="10208" xr:uid="{00000000-0005-0000-0000-0000E0270000}"/>
    <cellStyle name="Input 37 2 2 2" xfId="10209" xr:uid="{00000000-0005-0000-0000-0000E1270000}"/>
    <cellStyle name="Input 37 2 3" xfId="10210" xr:uid="{00000000-0005-0000-0000-0000E2270000}"/>
    <cellStyle name="Input 37 3" xfId="10211" xr:uid="{00000000-0005-0000-0000-0000E3270000}"/>
    <cellStyle name="Input 37 3 2" xfId="10212" xr:uid="{00000000-0005-0000-0000-0000E4270000}"/>
    <cellStyle name="Input 37 4" xfId="10213" xr:uid="{00000000-0005-0000-0000-0000E5270000}"/>
    <cellStyle name="Input 38" xfId="10214" xr:uid="{00000000-0005-0000-0000-0000E6270000}"/>
    <cellStyle name="Input 38 2" xfId="10215" xr:uid="{00000000-0005-0000-0000-0000E7270000}"/>
    <cellStyle name="Input 38 2 2" xfId="10216" xr:uid="{00000000-0005-0000-0000-0000E8270000}"/>
    <cellStyle name="Input 38 2 2 2" xfId="10217" xr:uid="{00000000-0005-0000-0000-0000E9270000}"/>
    <cellStyle name="Input 38 2 3" xfId="10218" xr:uid="{00000000-0005-0000-0000-0000EA270000}"/>
    <cellStyle name="Input 38 3" xfId="10219" xr:uid="{00000000-0005-0000-0000-0000EB270000}"/>
    <cellStyle name="Input 38 3 2" xfId="10220" xr:uid="{00000000-0005-0000-0000-0000EC270000}"/>
    <cellStyle name="Input 38 4" xfId="10221" xr:uid="{00000000-0005-0000-0000-0000ED270000}"/>
    <cellStyle name="Input 39" xfId="10222" xr:uid="{00000000-0005-0000-0000-0000EE270000}"/>
    <cellStyle name="Input 39 2" xfId="10223" xr:uid="{00000000-0005-0000-0000-0000EF270000}"/>
    <cellStyle name="Input 39 2 2" xfId="10224" xr:uid="{00000000-0005-0000-0000-0000F0270000}"/>
    <cellStyle name="Input 39 2 2 2" xfId="10225" xr:uid="{00000000-0005-0000-0000-0000F1270000}"/>
    <cellStyle name="Input 39 2 3" xfId="10226" xr:uid="{00000000-0005-0000-0000-0000F2270000}"/>
    <cellStyle name="Input 39 3" xfId="10227" xr:uid="{00000000-0005-0000-0000-0000F3270000}"/>
    <cellStyle name="Input 39 3 2" xfId="10228" xr:uid="{00000000-0005-0000-0000-0000F4270000}"/>
    <cellStyle name="Input 39 4" xfId="10229" xr:uid="{00000000-0005-0000-0000-0000F5270000}"/>
    <cellStyle name="Input 4" xfId="10230" xr:uid="{00000000-0005-0000-0000-0000F6270000}"/>
    <cellStyle name="Input 4 2" xfId="10231" xr:uid="{00000000-0005-0000-0000-0000F7270000}"/>
    <cellStyle name="Input 4 2 2" xfId="10232" xr:uid="{00000000-0005-0000-0000-0000F8270000}"/>
    <cellStyle name="Input 4 2 2 2" xfId="10233" xr:uid="{00000000-0005-0000-0000-0000F9270000}"/>
    <cellStyle name="Input 4 2 3" xfId="10234" xr:uid="{00000000-0005-0000-0000-0000FA270000}"/>
    <cellStyle name="Input 4 2 3 2" xfId="10235" xr:uid="{00000000-0005-0000-0000-0000FB270000}"/>
    <cellStyle name="Input 4 2 3 2 2" xfId="10236" xr:uid="{00000000-0005-0000-0000-0000FC270000}"/>
    <cellStyle name="Input 4 2 3 3" xfId="10237" xr:uid="{00000000-0005-0000-0000-0000FD270000}"/>
    <cellStyle name="Input 4 2 4" xfId="10238" xr:uid="{00000000-0005-0000-0000-0000FE270000}"/>
    <cellStyle name="Input 4 3" xfId="10239" xr:uid="{00000000-0005-0000-0000-0000FF270000}"/>
    <cellStyle name="Input 4 3 2" xfId="10240" xr:uid="{00000000-0005-0000-0000-000000280000}"/>
    <cellStyle name="Input 4 3 2 2" xfId="10241" xr:uid="{00000000-0005-0000-0000-000001280000}"/>
    <cellStyle name="Input 4 3 2 2 2" xfId="10242" xr:uid="{00000000-0005-0000-0000-000002280000}"/>
    <cellStyle name="Input 4 3 2 3" xfId="10243" xr:uid="{00000000-0005-0000-0000-000003280000}"/>
    <cellStyle name="Input 4 3 3" xfId="10244" xr:uid="{00000000-0005-0000-0000-000004280000}"/>
    <cellStyle name="Input 4 3 3 2" xfId="10245" xr:uid="{00000000-0005-0000-0000-000005280000}"/>
    <cellStyle name="Input 4 3 3 2 2" xfId="10246" xr:uid="{00000000-0005-0000-0000-000006280000}"/>
    <cellStyle name="Input 4 3 3 2 2 2" xfId="10247" xr:uid="{00000000-0005-0000-0000-000007280000}"/>
    <cellStyle name="Input 4 3 3 2 3" xfId="10248" xr:uid="{00000000-0005-0000-0000-000008280000}"/>
    <cellStyle name="Input 4 3 3 3" xfId="10249" xr:uid="{00000000-0005-0000-0000-000009280000}"/>
    <cellStyle name="Input 4 3 3 3 2" xfId="10250" xr:uid="{00000000-0005-0000-0000-00000A280000}"/>
    <cellStyle name="Input 4 3 3 4" xfId="10251" xr:uid="{00000000-0005-0000-0000-00000B280000}"/>
    <cellStyle name="Input 4 3 4" xfId="10252" xr:uid="{00000000-0005-0000-0000-00000C280000}"/>
    <cellStyle name="Input 4 3 4 2" xfId="10253" xr:uid="{00000000-0005-0000-0000-00000D280000}"/>
    <cellStyle name="Input 4 3 5" xfId="10254" xr:uid="{00000000-0005-0000-0000-00000E280000}"/>
    <cellStyle name="Input 4 4" xfId="10255" xr:uid="{00000000-0005-0000-0000-00000F280000}"/>
    <cellStyle name="Input 4 4 2" xfId="10256" xr:uid="{00000000-0005-0000-0000-000010280000}"/>
    <cellStyle name="Input 4 4 2 2" xfId="10257" xr:uid="{00000000-0005-0000-0000-000011280000}"/>
    <cellStyle name="Input 4 4 2 2 2" xfId="10258" xr:uid="{00000000-0005-0000-0000-000012280000}"/>
    <cellStyle name="Input 4 4 2 3" xfId="10259" xr:uid="{00000000-0005-0000-0000-000013280000}"/>
    <cellStyle name="Input 4 4 3" xfId="10260" xr:uid="{00000000-0005-0000-0000-000014280000}"/>
    <cellStyle name="Input 4 4 3 2" xfId="10261" xr:uid="{00000000-0005-0000-0000-000015280000}"/>
    <cellStyle name="Input 4 4 4" xfId="10262" xr:uid="{00000000-0005-0000-0000-000016280000}"/>
    <cellStyle name="Input 4 5" xfId="10263" xr:uid="{00000000-0005-0000-0000-000017280000}"/>
    <cellStyle name="Input 4 5 2" xfId="10264" xr:uid="{00000000-0005-0000-0000-000018280000}"/>
    <cellStyle name="Input 4 5 2 2" xfId="10265" xr:uid="{00000000-0005-0000-0000-000019280000}"/>
    <cellStyle name="Input 4 5 3" xfId="10266" xr:uid="{00000000-0005-0000-0000-00001A280000}"/>
    <cellStyle name="Input 4 6" xfId="10267" xr:uid="{00000000-0005-0000-0000-00001B280000}"/>
    <cellStyle name="Input 4 6 2" xfId="10268" xr:uid="{00000000-0005-0000-0000-00001C280000}"/>
    <cellStyle name="Input 4 6 2 2" xfId="10269" xr:uid="{00000000-0005-0000-0000-00001D280000}"/>
    <cellStyle name="Input 4 6 2 2 2" xfId="10270" xr:uid="{00000000-0005-0000-0000-00001E280000}"/>
    <cellStyle name="Input 4 6 2 2 2 2" xfId="10271" xr:uid="{00000000-0005-0000-0000-00001F280000}"/>
    <cellStyle name="Input 4 6 2 2 2 2 2" xfId="10272" xr:uid="{00000000-0005-0000-0000-000020280000}"/>
    <cellStyle name="Input 4 6 2 2 2 3" xfId="10273" xr:uid="{00000000-0005-0000-0000-000021280000}"/>
    <cellStyle name="Input 4 6 2 2 3" xfId="10274" xr:uid="{00000000-0005-0000-0000-000022280000}"/>
    <cellStyle name="Input 4 6 2 2 3 2" xfId="10275" xr:uid="{00000000-0005-0000-0000-000023280000}"/>
    <cellStyle name="Input 4 6 2 2 4" xfId="10276" xr:uid="{00000000-0005-0000-0000-000024280000}"/>
    <cellStyle name="Input 4 6 2 3" xfId="10277" xr:uid="{00000000-0005-0000-0000-000025280000}"/>
    <cellStyle name="Input 4 6 2 3 2" xfId="10278" xr:uid="{00000000-0005-0000-0000-000026280000}"/>
    <cellStyle name="Input 4 6 2 3 2 2" xfId="10279" xr:uid="{00000000-0005-0000-0000-000027280000}"/>
    <cellStyle name="Input 4 6 2 3 3" xfId="10280" xr:uid="{00000000-0005-0000-0000-000028280000}"/>
    <cellStyle name="Input 4 6 2 4" xfId="10281" xr:uid="{00000000-0005-0000-0000-000029280000}"/>
    <cellStyle name="Input 4 6 2 4 2" xfId="10282" xr:uid="{00000000-0005-0000-0000-00002A280000}"/>
    <cellStyle name="Input 4 6 2 5" xfId="10283" xr:uid="{00000000-0005-0000-0000-00002B280000}"/>
    <cellStyle name="Input 4 6 3" xfId="10284" xr:uid="{00000000-0005-0000-0000-00002C280000}"/>
    <cellStyle name="Input 4 6 3 2" xfId="10285" xr:uid="{00000000-0005-0000-0000-00002D280000}"/>
    <cellStyle name="Input 4 6 3 2 2" xfId="10286" xr:uid="{00000000-0005-0000-0000-00002E280000}"/>
    <cellStyle name="Input 4 6 3 2 2 2" xfId="10287" xr:uid="{00000000-0005-0000-0000-00002F280000}"/>
    <cellStyle name="Input 4 6 3 2 3" xfId="10288" xr:uid="{00000000-0005-0000-0000-000030280000}"/>
    <cellStyle name="Input 4 6 3 3" xfId="10289" xr:uid="{00000000-0005-0000-0000-000031280000}"/>
    <cellStyle name="Input 4 6 3 3 2" xfId="10290" xr:uid="{00000000-0005-0000-0000-000032280000}"/>
    <cellStyle name="Input 4 6 3 4" xfId="10291" xr:uid="{00000000-0005-0000-0000-000033280000}"/>
    <cellStyle name="Input 4 6 4" xfId="10292" xr:uid="{00000000-0005-0000-0000-000034280000}"/>
    <cellStyle name="Input 4 6 4 2" xfId="10293" xr:uid="{00000000-0005-0000-0000-000035280000}"/>
    <cellStyle name="Input 4 6 4 2 2" xfId="10294" xr:uid="{00000000-0005-0000-0000-000036280000}"/>
    <cellStyle name="Input 4 6 4 3" xfId="10295" xr:uid="{00000000-0005-0000-0000-000037280000}"/>
    <cellStyle name="Input 4 6 5" xfId="10296" xr:uid="{00000000-0005-0000-0000-000038280000}"/>
    <cellStyle name="Input 4 6 5 2" xfId="10297" xr:uid="{00000000-0005-0000-0000-000039280000}"/>
    <cellStyle name="Input 4 6 6" xfId="10298" xr:uid="{00000000-0005-0000-0000-00003A280000}"/>
    <cellStyle name="Input 4 7" xfId="10299" xr:uid="{00000000-0005-0000-0000-00003B280000}"/>
    <cellStyle name="Input 4 7 2" xfId="10300" xr:uid="{00000000-0005-0000-0000-00003C280000}"/>
    <cellStyle name="Input 4 7 2 2" xfId="10301" xr:uid="{00000000-0005-0000-0000-00003D280000}"/>
    <cellStyle name="Input 4 7 3" xfId="10302" xr:uid="{00000000-0005-0000-0000-00003E280000}"/>
    <cellStyle name="Input 4 8" xfId="10303" xr:uid="{00000000-0005-0000-0000-00003F280000}"/>
    <cellStyle name="Input 4 8 2" xfId="10304" xr:uid="{00000000-0005-0000-0000-000040280000}"/>
    <cellStyle name="Input 4 9" xfId="10305" xr:uid="{00000000-0005-0000-0000-000041280000}"/>
    <cellStyle name="Input 40" xfId="10306" xr:uid="{00000000-0005-0000-0000-000042280000}"/>
    <cellStyle name="Input 40 2" xfId="10307" xr:uid="{00000000-0005-0000-0000-000043280000}"/>
    <cellStyle name="Input 40 2 2" xfId="10308" xr:uid="{00000000-0005-0000-0000-000044280000}"/>
    <cellStyle name="Input 40 2 2 2" xfId="10309" xr:uid="{00000000-0005-0000-0000-000045280000}"/>
    <cellStyle name="Input 40 2 3" xfId="10310" xr:uid="{00000000-0005-0000-0000-000046280000}"/>
    <cellStyle name="Input 40 3" xfId="10311" xr:uid="{00000000-0005-0000-0000-000047280000}"/>
    <cellStyle name="Input 40 3 2" xfId="10312" xr:uid="{00000000-0005-0000-0000-000048280000}"/>
    <cellStyle name="Input 40 4" xfId="10313" xr:uid="{00000000-0005-0000-0000-000049280000}"/>
    <cellStyle name="Input 41" xfId="10314" xr:uid="{00000000-0005-0000-0000-00004A280000}"/>
    <cellStyle name="Input 41 2" xfId="10315" xr:uid="{00000000-0005-0000-0000-00004B280000}"/>
    <cellStyle name="Input 41 2 2" xfId="10316" xr:uid="{00000000-0005-0000-0000-00004C280000}"/>
    <cellStyle name="Input 41 2 2 2" xfId="10317" xr:uid="{00000000-0005-0000-0000-00004D280000}"/>
    <cellStyle name="Input 41 2 3" xfId="10318" xr:uid="{00000000-0005-0000-0000-00004E280000}"/>
    <cellStyle name="Input 41 3" xfId="10319" xr:uid="{00000000-0005-0000-0000-00004F280000}"/>
    <cellStyle name="Input 41 3 2" xfId="10320" xr:uid="{00000000-0005-0000-0000-000050280000}"/>
    <cellStyle name="Input 41 4" xfId="10321" xr:uid="{00000000-0005-0000-0000-000051280000}"/>
    <cellStyle name="Input 42" xfId="10322" xr:uid="{00000000-0005-0000-0000-000052280000}"/>
    <cellStyle name="Input 42 2" xfId="10323" xr:uid="{00000000-0005-0000-0000-000053280000}"/>
    <cellStyle name="Input 42 2 2" xfId="10324" xr:uid="{00000000-0005-0000-0000-000054280000}"/>
    <cellStyle name="Input 42 2 2 2" xfId="10325" xr:uid="{00000000-0005-0000-0000-000055280000}"/>
    <cellStyle name="Input 42 2 3" xfId="10326" xr:uid="{00000000-0005-0000-0000-000056280000}"/>
    <cellStyle name="Input 42 3" xfId="10327" xr:uid="{00000000-0005-0000-0000-000057280000}"/>
    <cellStyle name="Input 42 3 2" xfId="10328" xr:uid="{00000000-0005-0000-0000-000058280000}"/>
    <cellStyle name="Input 42 4" xfId="10329" xr:uid="{00000000-0005-0000-0000-000059280000}"/>
    <cellStyle name="Input 43" xfId="10330" xr:uid="{00000000-0005-0000-0000-00005A280000}"/>
    <cellStyle name="Input 43 2" xfId="10331" xr:uid="{00000000-0005-0000-0000-00005B280000}"/>
    <cellStyle name="Input 43 2 2" xfId="10332" xr:uid="{00000000-0005-0000-0000-00005C280000}"/>
    <cellStyle name="Input 43 2 2 2" xfId="10333" xr:uid="{00000000-0005-0000-0000-00005D280000}"/>
    <cellStyle name="Input 43 2 3" xfId="10334" xr:uid="{00000000-0005-0000-0000-00005E280000}"/>
    <cellStyle name="Input 43 3" xfId="10335" xr:uid="{00000000-0005-0000-0000-00005F280000}"/>
    <cellStyle name="Input 43 3 2" xfId="10336" xr:uid="{00000000-0005-0000-0000-000060280000}"/>
    <cellStyle name="Input 43 4" xfId="10337" xr:uid="{00000000-0005-0000-0000-000061280000}"/>
    <cellStyle name="Input 44" xfId="10338" xr:uid="{00000000-0005-0000-0000-000062280000}"/>
    <cellStyle name="Input 44 2" xfId="10339" xr:uid="{00000000-0005-0000-0000-000063280000}"/>
    <cellStyle name="Input 44 2 2" xfId="10340" xr:uid="{00000000-0005-0000-0000-000064280000}"/>
    <cellStyle name="Input 44 2 2 2" xfId="10341" xr:uid="{00000000-0005-0000-0000-000065280000}"/>
    <cellStyle name="Input 44 2 3" xfId="10342" xr:uid="{00000000-0005-0000-0000-000066280000}"/>
    <cellStyle name="Input 44 3" xfId="10343" xr:uid="{00000000-0005-0000-0000-000067280000}"/>
    <cellStyle name="Input 44 3 2" xfId="10344" xr:uid="{00000000-0005-0000-0000-000068280000}"/>
    <cellStyle name="Input 44 4" xfId="10345" xr:uid="{00000000-0005-0000-0000-000069280000}"/>
    <cellStyle name="Input 45" xfId="10346" xr:uid="{00000000-0005-0000-0000-00006A280000}"/>
    <cellStyle name="Input 45 2" xfId="10347" xr:uid="{00000000-0005-0000-0000-00006B280000}"/>
    <cellStyle name="Input 45 2 2" xfId="10348" xr:uid="{00000000-0005-0000-0000-00006C280000}"/>
    <cellStyle name="Input 45 2 2 2" xfId="10349" xr:uid="{00000000-0005-0000-0000-00006D280000}"/>
    <cellStyle name="Input 45 2 3" xfId="10350" xr:uid="{00000000-0005-0000-0000-00006E280000}"/>
    <cellStyle name="Input 45 3" xfId="10351" xr:uid="{00000000-0005-0000-0000-00006F280000}"/>
    <cellStyle name="Input 45 3 2" xfId="10352" xr:uid="{00000000-0005-0000-0000-000070280000}"/>
    <cellStyle name="Input 45 4" xfId="10353" xr:uid="{00000000-0005-0000-0000-000071280000}"/>
    <cellStyle name="Input 46" xfId="10354" xr:uid="{00000000-0005-0000-0000-000072280000}"/>
    <cellStyle name="Input 46 2" xfId="10355" xr:uid="{00000000-0005-0000-0000-000073280000}"/>
    <cellStyle name="Input 46 2 2" xfId="10356" xr:uid="{00000000-0005-0000-0000-000074280000}"/>
    <cellStyle name="Input 46 2 2 2" xfId="10357" xr:uid="{00000000-0005-0000-0000-000075280000}"/>
    <cellStyle name="Input 46 2 3" xfId="10358" xr:uid="{00000000-0005-0000-0000-000076280000}"/>
    <cellStyle name="Input 46 3" xfId="10359" xr:uid="{00000000-0005-0000-0000-000077280000}"/>
    <cellStyle name="Input 46 3 2" xfId="10360" xr:uid="{00000000-0005-0000-0000-000078280000}"/>
    <cellStyle name="Input 46 4" xfId="10361" xr:uid="{00000000-0005-0000-0000-000079280000}"/>
    <cellStyle name="Input 47" xfId="10362" xr:uid="{00000000-0005-0000-0000-00007A280000}"/>
    <cellStyle name="Input 47 2" xfId="10363" xr:uid="{00000000-0005-0000-0000-00007B280000}"/>
    <cellStyle name="Input 47 2 2" xfId="10364" xr:uid="{00000000-0005-0000-0000-00007C280000}"/>
    <cellStyle name="Input 47 2 2 2" xfId="10365" xr:uid="{00000000-0005-0000-0000-00007D280000}"/>
    <cellStyle name="Input 47 2 3" xfId="10366" xr:uid="{00000000-0005-0000-0000-00007E280000}"/>
    <cellStyle name="Input 47 3" xfId="10367" xr:uid="{00000000-0005-0000-0000-00007F280000}"/>
    <cellStyle name="Input 47 3 2" xfId="10368" xr:uid="{00000000-0005-0000-0000-000080280000}"/>
    <cellStyle name="Input 47 4" xfId="10369" xr:uid="{00000000-0005-0000-0000-000081280000}"/>
    <cellStyle name="Input 48" xfId="10370" xr:uid="{00000000-0005-0000-0000-000082280000}"/>
    <cellStyle name="Input 48 2" xfId="10371" xr:uid="{00000000-0005-0000-0000-000083280000}"/>
    <cellStyle name="Input 48 2 2" xfId="10372" xr:uid="{00000000-0005-0000-0000-000084280000}"/>
    <cellStyle name="Input 48 2 2 2" xfId="10373" xr:uid="{00000000-0005-0000-0000-000085280000}"/>
    <cellStyle name="Input 48 2 3" xfId="10374" xr:uid="{00000000-0005-0000-0000-000086280000}"/>
    <cellStyle name="Input 48 3" xfId="10375" xr:uid="{00000000-0005-0000-0000-000087280000}"/>
    <cellStyle name="Input 48 3 2" xfId="10376" xr:uid="{00000000-0005-0000-0000-000088280000}"/>
    <cellStyle name="Input 48 3 2 2" xfId="10377" xr:uid="{00000000-0005-0000-0000-000089280000}"/>
    <cellStyle name="Input 48 3 2 2 2" xfId="10378" xr:uid="{00000000-0005-0000-0000-00008A280000}"/>
    <cellStyle name="Input 48 3 2 3" xfId="10379" xr:uid="{00000000-0005-0000-0000-00008B280000}"/>
    <cellStyle name="Input 48 3 3" xfId="10380" xr:uid="{00000000-0005-0000-0000-00008C280000}"/>
    <cellStyle name="Input 48 3 3 2" xfId="10381" xr:uid="{00000000-0005-0000-0000-00008D280000}"/>
    <cellStyle name="Input 48 3 4" xfId="10382" xr:uid="{00000000-0005-0000-0000-00008E280000}"/>
    <cellStyle name="Input 48 4" xfId="10383" xr:uid="{00000000-0005-0000-0000-00008F280000}"/>
    <cellStyle name="Input 48 4 2" xfId="10384" xr:uid="{00000000-0005-0000-0000-000090280000}"/>
    <cellStyle name="Input 48 5" xfId="10385" xr:uid="{00000000-0005-0000-0000-000091280000}"/>
    <cellStyle name="Input 49" xfId="10386" xr:uid="{00000000-0005-0000-0000-000092280000}"/>
    <cellStyle name="Input 49 2" xfId="10387" xr:uid="{00000000-0005-0000-0000-000093280000}"/>
    <cellStyle name="Input 49 2 2" xfId="10388" xr:uid="{00000000-0005-0000-0000-000094280000}"/>
    <cellStyle name="Input 49 2 2 2" xfId="10389" xr:uid="{00000000-0005-0000-0000-000095280000}"/>
    <cellStyle name="Input 49 2 3" xfId="10390" xr:uid="{00000000-0005-0000-0000-000096280000}"/>
    <cellStyle name="Input 49 3" xfId="10391" xr:uid="{00000000-0005-0000-0000-000097280000}"/>
    <cellStyle name="Input 49 3 2" xfId="10392" xr:uid="{00000000-0005-0000-0000-000098280000}"/>
    <cellStyle name="Input 49 3 2 2" xfId="10393" xr:uid="{00000000-0005-0000-0000-000099280000}"/>
    <cellStyle name="Input 49 3 2 2 2" xfId="10394" xr:uid="{00000000-0005-0000-0000-00009A280000}"/>
    <cellStyle name="Input 49 3 2 3" xfId="10395" xr:uid="{00000000-0005-0000-0000-00009B280000}"/>
    <cellStyle name="Input 49 3 3" xfId="10396" xr:uid="{00000000-0005-0000-0000-00009C280000}"/>
    <cellStyle name="Input 49 3 3 2" xfId="10397" xr:uid="{00000000-0005-0000-0000-00009D280000}"/>
    <cellStyle name="Input 49 3 4" xfId="10398" xr:uid="{00000000-0005-0000-0000-00009E280000}"/>
    <cellStyle name="Input 49 4" xfId="10399" xr:uid="{00000000-0005-0000-0000-00009F280000}"/>
    <cellStyle name="Input 49 4 2" xfId="10400" xr:uid="{00000000-0005-0000-0000-0000A0280000}"/>
    <cellStyle name="Input 49 5" xfId="10401" xr:uid="{00000000-0005-0000-0000-0000A1280000}"/>
    <cellStyle name="Input 5" xfId="10402" xr:uid="{00000000-0005-0000-0000-0000A2280000}"/>
    <cellStyle name="Input 5 2" xfId="10403" xr:uid="{00000000-0005-0000-0000-0000A3280000}"/>
    <cellStyle name="Input 5 2 2" xfId="10404" xr:uid="{00000000-0005-0000-0000-0000A4280000}"/>
    <cellStyle name="Input 5 2 2 2" xfId="10405" xr:uid="{00000000-0005-0000-0000-0000A5280000}"/>
    <cellStyle name="Input 5 2 2 2 2" xfId="10406" xr:uid="{00000000-0005-0000-0000-0000A6280000}"/>
    <cellStyle name="Input 5 2 2 3" xfId="10407" xr:uid="{00000000-0005-0000-0000-0000A7280000}"/>
    <cellStyle name="Input 5 2 3" xfId="10408" xr:uid="{00000000-0005-0000-0000-0000A8280000}"/>
    <cellStyle name="Input 5 2 3 2" xfId="10409" xr:uid="{00000000-0005-0000-0000-0000A9280000}"/>
    <cellStyle name="Input 5 2 3 2 2" xfId="10410" xr:uid="{00000000-0005-0000-0000-0000AA280000}"/>
    <cellStyle name="Input 5 2 3 2 2 2" xfId="10411" xr:uid="{00000000-0005-0000-0000-0000AB280000}"/>
    <cellStyle name="Input 5 2 3 2 3" xfId="10412" xr:uid="{00000000-0005-0000-0000-0000AC280000}"/>
    <cellStyle name="Input 5 2 3 3" xfId="10413" xr:uid="{00000000-0005-0000-0000-0000AD280000}"/>
    <cellStyle name="Input 5 2 3 3 2" xfId="10414" xr:uid="{00000000-0005-0000-0000-0000AE280000}"/>
    <cellStyle name="Input 5 2 3 4" xfId="10415" xr:uid="{00000000-0005-0000-0000-0000AF280000}"/>
    <cellStyle name="Input 5 2 4" xfId="10416" xr:uid="{00000000-0005-0000-0000-0000B0280000}"/>
    <cellStyle name="Input 5 2 4 2" xfId="10417" xr:uid="{00000000-0005-0000-0000-0000B1280000}"/>
    <cellStyle name="Input 5 2 5" xfId="10418" xr:uid="{00000000-0005-0000-0000-0000B2280000}"/>
    <cellStyle name="Input 5 3" xfId="10419" xr:uid="{00000000-0005-0000-0000-0000B3280000}"/>
    <cellStyle name="Input 5 3 2" xfId="10420" xr:uid="{00000000-0005-0000-0000-0000B4280000}"/>
    <cellStyle name="Input 5 3 2 2" xfId="10421" xr:uid="{00000000-0005-0000-0000-0000B5280000}"/>
    <cellStyle name="Input 5 3 2 2 2" xfId="10422" xr:uid="{00000000-0005-0000-0000-0000B6280000}"/>
    <cellStyle name="Input 5 3 2 3" xfId="10423" xr:uid="{00000000-0005-0000-0000-0000B7280000}"/>
    <cellStyle name="Input 5 3 3" xfId="10424" xr:uid="{00000000-0005-0000-0000-0000B8280000}"/>
    <cellStyle name="Input 5 3 3 2" xfId="10425" xr:uid="{00000000-0005-0000-0000-0000B9280000}"/>
    <cellStyle name="Input 5 3 3 2 2" xfId="10426" xr:uid="{00000000-0005-0000-0000-0000BA280000}"/>
    <cellStyle name="Input 5 3 3 2 2 2" xfId="10427" xr:uid="{00000000-0005-0000-0000-0000BB280000}"/>
    <cellStyle name="Input 5 3 3 2 3" xfId="10428" xr:uid="{00000000-0005-0000-0000-0000BC280000}"/>
    <cellStyle name="Input 5 3 3 3" xfId="10429" xr:uid="{00000000-0005-0000-0000-0000BD280000}"/>
    <cellStyle name="Input 5 3 3 3 2" xfId="10430" xr:uid="{00000000-0005-0000-0000-0000BE280000}"/>
    <cellStyle name="Input 5 3 3 4" xfId="10431" xr:uid="{00000000-0005-0000-0000-0000BF280000}"/>
    <cellStyle name="Input 5 3 4" xfId="10432" xr:uid="{00000000-0005-0000-0000-0000C0280000}"/>
    <cellStyle name="Input 5 3 4 2" xfId="10433" xr:uid="{00000000-0005-0000-0000-0000C1280000}"/>
    <cellStyle name="Input 5 3 5" xfId="10434" xr:uid="{00000000-0005-0000-0000-0000C2280000}"/>
    <cellStyle name="Input 5 4" xfId="10435" xr:uid="{00000000-0005-0000-0000-0000C3280000}"/>
    <cellStyle name="Input 5 4 2" xfId="10436" xr:uid="{00000000-0005-0000-0000-0000C4280000}"/>
    <cellStyle name="Input 5 4 2 2" xfId="10437" xr:uid="{00000000-0005-0000-0000-0000C5280000}"/>
    <cellStyle name="Input 5 4 3" xfId="10438" xr:uid="{00000000-0005-0000-0000-0000C6280000}"/>
    <cellStyle name="Input 5 5" xfId="10439" xr:uid="{00000000-0005-0000-0000-0000C7280000}"/>
    <cellStyle name="Input 5 5 2" xfId="10440" xr:uid="{00000000-0005-0000-0000-0000C8280000}"/>
    <cellStyle name="Input 5 5 2 2" xfId="10441" xr:uid="{00000000-0005-0000-0000-0000C9280000}"/>
    <cellStyle name="Input 5 5 2 2 2" xfId="10442" xr:uid="{00000000-0005-0000-0000-0000CA280000}"/>
    <cellStyle name="Input 5 5 2 2 2 2" xfId="10443" xr:uid="{00000000-0005-0000-0000-0000CB280000}"/>
    <cellStyle name="Input 5 5 2 2 2 2 2" xfId="10444" xr:uid="{00000000-0005-0000-0000-0000CC280000}"/>
    <cellStyle name="Input 5 5 2 2 2 3" xfId="10445" xr:uid="{00000000-0005-0000-0000-0000CD280000}"/>
    <cellStyle name="Input 5 5 2 2 3" xfId="10446" xr:uid="{00000000-0005-0000-0000-0000CE280000}"/>
    <cellStyle name="Input 5 5 2 2 3 2" xfId="10447" xr:uid="{00000000-0005-0000-0000-0000CF280000}"/>
    <cellStyle name="Input 5 5 2 2 4" xfId="10448" xr:uid="{00000000-0005-0000-0000-0000D0280000}"/>
    <cellStyle name="Input 5 5 2 3" xfId="10449" xr:uid="{00000000-0005-0000-0000-0000D1280000}"/>
    <cellStyle name="Input 5 5 2 3 2" xfId="10450" xr:uid="{00000000-0005-0000-0000-0000D2280000}"/>
    <cellStyle name="Input 5 5 2 3 2 2" xfId="10451" xr:uid="{00000000-0005-0000-0000-0000D3280000}"/>
    <cellStyle name="Input 5 5 2 3 3" xfId="10452" xr:uid="{00000000-0005-0000-0000-0000D4280000}"/>
    <cellStyle name="Input 5 5 2 4" xfId="10453" xr:uid="{00000000-0005-0000-0000-0000D5280000}"/>
    <cellStyle name="Input 5 5 2 4 2" xfId="10454" xr:uid="{00000000-0005-0000-0000-0000D6280000}"/>
    <cellStyle name="Input 5 5 2 5" xfId="10455" xr:uid="{00000000-0005-0000-0000-0000D7280000}"/>
    <cellStyle name="Input 5 5 3" xfId="10456" xr:uid="{00000000-0005-0000-0000-0000D8280000}"/>
    <cellStyle name="Input 5 5 3 2" xfId="10457" xr:uid="{00000000-0005-0000-0000-0000D9280000}"/>
    <cellStyle name="Input 5 5 3 2 2" xfId="10458" xr:uid="{00000000-0005-0000-0000-0000DA280000}"/>
    <cellStyle name="Input 5 5 3 2 2 2" xfId="10459" xr:uid="{00000000-0005-0000-0000-0000DB280000}"/>
    <cellStyle name="Input 5 5 3 2 3" xfId="10460" xr:uid="{00000000-0005-0000-0000-0000DC280000}"/>
    <cellStyle name="Input 5 5 3 3" xfId="10461" xr:uid="{00000000-0005-0000-0000-0000DD280000}"/>
    <cellStyle name="Input 5 5 3 3 2" xfId="10462" xr:uid="{00000000-0005-0000-0000-0000DE280000}"/>
    <cellStyle name="Input 5 5 3 4" xfId="10463" xr:uid="{00000000-0005-0000-0000-0000DF280000}"/>
    <cellStyle name="Input 5 5 4" xfId="10464" xr:uid="{00000000-0005-0000-0000-0000E0280000}"/>
    <cellStyle name="Input 5 5 4 2" xfId="10465" xr:uid="{00000000-0005-0000-0000-0000E1280000}"/>
    <cellStyle name="Input 5 5 4 2 2" xfId="10466" xr:uid="{00000000-0005-0000-0000-0000E2280000}"/>
    <cellStyle name="Input 5 5 4 3" xfId="10467" xr:uid="{00000000-0005-0000-0000-0000E3280000}"/>
    <cellStyle name="Input 5 5 5" xfId="10468" xr:uid="{00000000-0005-0000-0000-0000E4280000}"/>
    <cellStyle name="Input 5 5 5 2" xfId="10469" xr:uid="{00000000-0005-0000-0000-0000E5280000}"/>
    <cellStyle name="Input 5 5 6" xfId="10470" xr:uid="{00000000-0005-0000-0000-0000E6280000}"/>
    <cellStyle name="Input 5 6" xfId="10471" xr:uid="{00000000-0005-0000-0000-0000E7280000}"/>
    <cellStyle name="Input 5 6 2" xfId="10472" xr:uid="{00000000-0005-0000-0000-0000E8280000}"/>
    <cellStyle name="Input 5 7" xfId="10473" xr:uid="{00000000-0005-0000-0000-0000E9280000}"/>
    <cellStyle name="Input 50" xfId="10474" xr:uid="{00000000-0005-0000-0000-0000EA280000}"/>
    <cellStyle name="Input 50 2" xfId="10475" xr:uid="{00000000-0005-0000-0000-0000EB280000}"/>
    <cellStyle name="Input 50 2 2" xfId="10476" xr:uid="{00000000-0005-0000-0000-0000EC280000}"/>
    <cellStyle name="Input 50 2 2 2" xfId="10477" xr:uid="{00000000-0005-0000-0000-0000ED280000}"/>
    <cellStyle name="Input 50 2 3" xfId="10478" xr:uid="{00000000-0005-0000-0000-0000EE280000}"/>
    <cellStyle name="Input 50 3" xfId="10479" xr:uid="{00000000-0005-0000-0000-0000EF280000}"/>
    <cellStyle name="Input 50 3 2" xfId="10480" xr:uid="{00000000-0005-0000-0000-0000F0280000}"/>
    <cellStyle name="Input 50 3 2 2" xfId="10481" xr:uid="{00000000-0005-0000-0000-0000F1280000}"/>
    <cellStyle name="Input 50 3 2 2 2" xfId="10482" xr:uid="{00000000-0005-0000-0000-0000F2280000}"/>
    <cellStyle name="Input 50 3 2 3" xfId="10483" xr:uid="{00000000-0005-0000-0000-0000F3280000}"/>
    <cellStyle name="Input 50 3 3" xfId="10484" xr:uid="{00000000-0005-0000-0000-0000F4280000}"/>
    <cellStyle name="Input 50 3 3 2" xfId="10485" xr:uid="{00000000-0005-0000-0000-0000F5280000}"/>
    <cellStyle name="Input 50 3 4" xfId="10486" xr:uid="{00000000-0005-0000-0000-0000F6280000}"/>
    <cellStyle name="Input 50 4" xfId="10487" xr:uid="{00000000-0005-0000-0000-0000F7280000}"/>
    <cellStyle name="Input 50 4 2" xfId="10488" xr:uid="{00000000-0005-0000-0000-0000F8280000}"/>
    <cellStyle name="Input 50 5" xfId="10489" xr:uid="{00000000-0005-0000-0000-0000F9280000}"/>
    <cellStyle name="Input 51" xfId="10490" xr:uid="{00000000-0005-0000-0000-0000FA280000}"/>
    <cellStyle name="Input 51 2" xfId="10491" xr:uid="{00000000-0005-0000-0000-0000FB280000}"/>
    <cellStyle name="Input 51 2 2" xfId="10492" xr:uid="{00000000-0005-0000-0000-0000FC280000}"/>
    <cellStyle name="Input 51 2 2 2" xfId="10493" xr:uid="{00000000-0005-0000-0000-0000FD280000}"/>
    <cellStyle name="Input 51 2 3" xfId="10494" xr:uid="{00000000-0005-0000-0000-0000FE280000}"/>
    <cellStyle name="Input 51 3" xfId="10495" xr:uid="{00000000-0005-0000-0000-0000FF280000}"/>
    <cellStyle name="Input 51 3 2" xfId="10496" xr:uid="{00000000-0005-0000-0000-000000290000}"/>
    <cellStyle name="Input 51 3 2 2" xfId="10497" xr:uid="{00000000-0005-0000-0000-000001290000}"/>
    <cellStyle name="Input 51 3 2 2 2" xfId="10498" xr:uid="{00000000-0005-0000-0000-000002290000}"/>
    <cellStyle name="Input 51 3 2 3" xfId="10499" xr:uid="{00000000-0005-0000-0000-000003290000}"/>
    <cellStyle name="Input 51 3 3" xfId="10500" xr:uid="{00000000-0005-0000-0000-000004290000}"/>
    <cellStyle name="Input 51 3 3 2" xfId="10501" xr:uid="{00000000-0005-0000-0000-000005290000}"/>
    <cellStyle name="Input 51 3 4" xfId="10502" xr:uid="{00000000-0005-0000-0000-000006290000}"/>
    <cellStyle name="Input 51 4" xfId="10503" xr:uid="{00000000-0005-0000-0000-000007290000}"/>
    <cellStyle name="Input 51 4 2" xfId="10504" xr:uid="{00000000-0005-0000-0000-000008290000}"/>
    <cellStyle name="Input 51 5" xfId="10505" xr:uid="{00000000-0005-0000-0000-000009290000}"/>
    <cellStyle name="Input 52" xfId="10506" xr:uid="{00000000-0005-0000-0000-00000A290000}"/>
    <cellStyle name="Input 52 2" xfId="10507" xr:uid="{00000000-0005-0000-0000-00000B290000}"/>
    <cellStyle name="Input 52 2 2" xfId="10508" xr:uid="{00000000-0005-0000-0000-00000C290000}"/>
    <cellStyle name="Input 52 2 2 2" xfId="10509" xr:uid="{00000000-0005-0000-0000-00000D290000}"/>
    <cellStyle name="Input 52 2 3" xfId="10510" xr:uid="{00000000-0005-0000-0000-00000E290000}"/>
    <cellStyle name="Input 52 3" xfId="10511" xr:uid="{00000000-0005-0000-0000-00000F290000}"/>
    <cellStyle name="Input 52 3 2" xfId="10512" xr:uid="{00000000-0005-0000-0000-000010290000}"/>
    <cellStyle name="Input 52 4" xfId="10513" xr:uid="{00000000-0005-0000-0000-000011290000}"/>
    <cellStyle name="Input 53" xfId="10514" xr:uid="{00000000-0005-0000-0000-000012290000}"/>
    <cellStyle name="Input 53 2" xfId="10515" xr:uid="{00000000-0005-0000-0000-000013290000}"/>
    <cellStyle name="Input 53 2 2" xfId="10516" xr:uid="{00000000-0005-0000-0000-000014290000}"/>
    <cellStyle name="Input 53 2 2 2" xfId="10517" xr:uid="{00000000-0005-0000-0000-000015290000}"/>
    <cellStyle name="Input 53 2 3" xfId="10518" xr:uid="{00000000-0005-0000-0000-000016290000}"/>
    <cellStyle name="Input 53 3" xfId="10519" xr:uid="{00000000-0005-0000-0000-000017290000}"/>
    <cellStyle name="Input 53 3 2" xfId="10520" xr:uid="{00000000-0005-0000-0000-000018290000}"/>
    <cellStyle name="Input 53 4" xfId="10521" xr:uid="{00000000-0005-0000-0000-000019290000}"/>
    <cellStyle name="Input 54" xfId="10522" xr:uid="{00000000-0005-0000-0000-00001A290000}"/>
    <cellStyle name="Input 54 2" xfId="10523" xr:uid="{00000000-0005-0000-0000-00001B290000}"/>
    <cellStyle name="Input 54 2 2" xfId="10524" xr:uid="{00000000-0005-0000-0000-00001C290000}"/>
    <cellStyle name="Input 54 2 2 2" xfId="10525" xr:uid="{00000000-0005-0000-0000-00001D290000}"/>
    <cellStyle name="Input 54 2 3" xfId="10526" xr:uid="{00000000-0005-0000-0000-00001E290000}"/>
    <cellStyle name="Input 54 3" xfId="10527" xr:uid="{00000000-0005-0000-0000-00001F290000}"/>
    <cellStyle name="Input 54 3 2" xfId="10528" xr:uid="{00000000-0005-0000-0000-000020290000}"/>
    <cellStyle name="Input 54 4" xfId="10529" xr:uid="{00000000-0005-0000-0000-000021290000}"/>
    <cellStyle name="Input 55" xfId="10530" xr:uid="{00000000-0005-0000-0000-000022290000}"/>
    <cellStyle name="Input 55 2" xfId="10531" xr:uid="{00000000-0005-0000-0000-000023290000}"/>
    <cellStyle name="Input 55 2 2" xfId="10532" xr:uid="{00000000-0005-0000-0000-000024290000}"/>
    <cellStyle name="Input 55 2 2 2" xfId="10533" xr:uid="{00000000-0005-0000-0000-000025290000}"/>
    <cellStyle name="Input 55 2 3" xfId="10534" xr:uid="{00000000-0005-0000-0000-000026290000}"/>
    <cellStyle name="Input 55 3" xfId="10535" xr:uid="{00000000-0005-0000-0000-000027290000}"/>
    <cellStyle name="Input 55 3 2" xfId="10536" xr:uid="{00000000-0005-0000-0000-000028290000}"/>
    <cellStyle name="Input 55 4" xfId="10537" xr:uid="{00000000-0005-0000-0000-000029290000}"/>
    <cellStyle name="Input 56" xfId="10538" xr:uid="{00000000-0005-0000-0000-00002A290000}"/>
    <cellStyle name="Input 56 2" xfId="10539" xr:uid="{00000000-0005-0000-0000-00002B290000}"/>
    <cellStyle name="Input 56 2 2" xfId="10540" xr:uid="{00000000-0005-0000-0000-00002C290000}"/>
    <cellStyle name="Input 56 2 2 2" xfId="10541" xr:uid="{00000000-0005-0000-0000-00002D290000}"/>
    <cellStyle name="Input 56 2 3" xfId="10542" xr:uid="{00000000-0005-0000-0000-00002E290000}"/>
    <cellStyle name="Input 56 3" xfId="10543" xr:uid="{00000000-0005-0000-0000-00002F290000}"/>
    <cellStyle name="Input 56 3 2" xfId="10544" xr:uid="{00000000-0005-0000-0000-000030290000}"/>
    <cellStyle name="Input 56 4" xfId="10545" xr:uid="{00000000-0005-0000-0000-000031290000}"/>
    <cellStyle name="Input 57" xfId="10546" xr:uid="{00000000-0005-0000-0000-000032290000}"/>
    <cellStyle name="Input 57 2" xfId="10547" xr:uid="{00000000-0005-0000-0000-000033290000}"/>
    <cellStyle name="Input 57 2 2" xfId="10548" xr:uid="{00000000-0005-0000-0000-000034290000}"/>
    <cellStyle name="Input 57 2 2 2" xfId="10549" xr:uid="{00000000-0005-0000-0000-000035290000}"/>
    <cellStyle name="Input 57 2 3" xfId="10550" xr:uid="{00000000-0005-0000-0000-000036290000}"/>
    <cellStyle name="Input 57 3" xfId="10551" xr:uid="{00000000-0005-0000-0000-000037290000}"/>
    <cellStyle name="Input 57 3 2" xfId="10552" xr:uid="{00000000-0005-0000-0000-000038290000}"/>
    <cellStyle name="Input 57 4" xfId="10553" xr:uid="{00000000-0005-0000-0000-000039290000}"/>
    <cellStyle name="Input 58" xfId="10554" xr:uid="{00000000-0005-0000-0000-00003A290000}"/>
    <cellStyle name="Input 58 2" xfId="10555" xr:uid="{00000000-0005-0000-0000-00003B290000}"/>
    <cellStyle name="Input 58 2 2" xfId="10556" xr:uid="{00000000-0005-0000-0000-00003C290000}"/>
    <cellStyle name="Input 58 2 2 2" xfId="10557" xr:uid="{00000000-0005-0000-0000-00003D290000}"/>
    <cellStyle name="Input 58 2 3" xfId="10558" xr:uid="{00000000-0005-0000-0000-00003E290000}"/>
    <cellStyle name="Input 58 3" xfId="10559" xr:uid="{00000000-0005-0000-0000-00003F290000}"/>
    <cellStyle name="Input 58 3 2" xfId="10560" xr:uid="{00000000-0005-0000-0000-000040290000}"/>
    <cellStyle name="Input 58 3 2 2" xfId="10561" xr:uid="{00000000-0005-0000-0000-000041290000}"/>
    <cellStyle name="Input 58 3 2 2 2" xfId="10562" xr:uid="{00000000-0005-0000-0000-000042290000}"/>
    <cellStyle name="Input 58 3 2 3" xfId="10563" xr:uid="{00000000-0005-0000-0000-000043290000}"/>
    <cellStyle name="Input 58 3 3" xfId="10564" xr:uid="{00000000-0005-0000-0000-000044290000}"/>
    <cellStyle name="Input 58 3 3 2" xfId="10565" xr:uid="{00000000-0005-0000-0000-000045290000}"/>
    <cellStyle name="Input 58 3 4" xfId="10566" xr:uid="{00000000-0005-0000-0000-000046290000}"/>
    <cellStyle name="Input 58 4" xfId="10567" xr:uid="{00000000-0005-0000-0000-000047290000}"/>
    <cellStyle name="Input 58 4 2" xfId="10568" xr:uid="{00000000-0005-0000-0000-000048290000}"/>
    <cellStyle name="Input 58 5" xfId="10569" xr:uid="{00000000-0005-0000-0000-000049290000}"/>
    <cellStyle name="Input 59" xfId="10570" xr:uid="{00000000-0005-0000-0000-00004A290000}"/>
    <cellStyle name="Input 59 2" xfId="10571" xr:uid="{00000000-0005-0000-0000-00004B290000}"/>
    <cellStyle name="Input 59 2 2" xfId="10572" xr:uid="{00000000-0005-0000-0000-00004C290000}"/>
    <cellStyle name="Input 59 2 2 2" xfId="10573" xr:uid="{00000000-0005-0000-0000-00004D290000}"/>
    <cellStyle name="Input 59 2 3" xfId="10574" xr:uid="{00000000-0005-0000-0000-00004E290000}"/>
    <cellStyle name="Input 59 3" xfId="10575" xr:uid="{00000000-0005-0000-0000-00004F290000}"/>
    <cellStyle name="Input 59 3 2" xfId="10576" xr:uid="{00000000-0005-0000-0000-000050290000}"/>
    <cellStyle name="Input 59 3 2 2" xfId="10577" xr:uid="{00000000-0005-0000-0000-000051290000}"/>
    <cellStyle name="Input 59 3 2 2 2" xfId="10578" xr:uid="{00000000-0005-0000-0000-000052290000}"/>
    <cellStyle name="Input 59 3 2 3" xfId="10579" xr:uid="{00000000-0005-0000-0000-000053290000}"/>
    <cellStyle name="Input 59 3 3" xfId="10580" xr:uid="{00000000-0005-0000-0000-000054290000}"/>
    <cellStyle name="Input 59 3 3 2" xfId="10581" xr:uid="{00000000-0005-0000-0000-000055290000}"/>
    <cellStyle name="Input 59 3 4" xfId="10582" xr:uid="{00000000-0005-0000-0000-000056290000}"/>
    <cellStyle name="Input 59 4" xfId="10583" xr:uid="{00000000-0005-0000-0000-000057290000}"/>
    <cellStyle name="Input 59 4 2" xfId="10584" xr:uid="{00000000-0005-0000-0000-000058290000}"/>
    <cellStyle name="Input 59 5" xfId="10585" xr:uid="{00000000-0005-0000-0000-000059290000}"/>
    <cellStyle name="Input 6" xfId="10586" xr:uid="{00000000-0005-0000-0000-00005A290000}"/>
    <cellStyle name="Input 6 2" xfId="10587" xr:uid="{00000000-0005-0000-0000-00005B290000}"/>
    <cellStyle name="Input 6 2 2" xfId="10588" xr:uid="{00000000-0005-0000-0000-00005C290000}"/>
    <cellStyle name="Input 6 2 2 2" xfId="10589" xr:uid="{00000000-0005-0000-0000-00005D290000}"/>
    <cellStyle name="Input 6 2 2 2 2" xfId="10590" xr:uid="{00000000-0005-0000-0000-00005E290000}"/>
    <cellStyle name="Input 6 2 2 3" xfId="10591" xr:uid="{00000000-0005-0000-0000-00005F290000}"/>
    <cellStyle name="Input 6 2 3" xfId="10592" xr:uid="{00000000-0005-0000-0000-000060290000}"/>
    <cellStyle name="Input 6 2 3 2" xfId="10593" xr:uid="{00000000-0005-0000-0000-000061290000}"/>
    <cellStyle name="Input 6 2 3 2 2" xfId="10594" xr:uid="{00000000-0005-0000-0000-000062290000}"/>
    <cellStyle name="Input 6 2 3 2 2 2" xfId="10595" xr:uid="{00000000-0005-0000-0000-000063290000}"/>
    <cellStyle name="Input 6 2 3 2 3" xfId="10596" xr:uid="{00000000-0005-0000-0000-000064290000}"/>
    <cellStyle name="Input 6 2 3 3" xfId="10597" xr:uid="{00000000-0005-0000-0000-000065290000}"/>
    <cellStyle name="Input 6 2 3 3 2" xfId="10598" xr:uid="{00000000-0005-0000-0000-000066290000}"/>
    <cellStyle name="Input 6 2 3 4" xfId="10599" xr:uid="{00000000-0005-0000-0000-000067290000}"/>
    <cellStyle name="Input 6 2 4" xfId="10600" xr:uid="{00000000-0005-0000-0000-000068290000}"/>
    <cellStyle name="Input 6 2 4 2" xfId="10601" xr:uid="{00000000-0005-0000-0000-000069290000}"/>
    <cellStyle name="Input 6 2 5" xfId="10602" xr:uid="{00000000-0005-0000-0000-00006A290000}"/>
    <cellStyle name="Input 6 3" xfId="10603" xr:uid="{00000000-0005-0000-0000-00006B290000}"/>
    <cellStyle name="Input 6 3 2" xfId="10604" xr:uid="{00000000-0005-0000-0000-00006C290000}"/>
    <cellStyle name="Input 6 3 2 2" xfId="10605" xr:uid="{00000000-0005-0000-0000-00006D290000}"/>
    <cellStyle name="Input 6 3 3" xfId="10606" xr:uid="{00000000-0005-0000-0000-00006E290000}"/>
    <cellStyle name="Input 6 4" xfId="10607" xr:uid="{00000000-0005-0000-0000-00006F290000}"/>
    <cellStyle name="Input 6 4 2" xfId="10608" xr:uid="{00000000-0005-0000-0000-000070290000}"/>
    <cellStyle name="Input 6 4 2 2" xfId="10609" xr:uid="{00000000-0005-0000-0000-000071290000}"/>
    <cellStyle name="Input 6 4 2 2 2" xfId="10610" xr:uid="{00000000-0005-0000-0000-000072290000}"/>
    <cellStyle name="Input 6 4 2 2 2 2" xfId="10611" xr:uid="{00000000-0005-0000-0000-000073290000}"/>
    <cellStyle name="Input 6 4 2 2 2 2 2" xfId="10612" xr:uid="{00000000-0005-0000-0000-000074290000}"/>
    <cellStyle name="Input 6 4 2 2 2 3" xfId="10613" xr:uid="{00000000-0005-0000-0000-000075290000}"/>
    <cellStyle name="Input 6 4 2 2 3" xfId="10614" xr:uid="{00000000-0005-0000-0000-000076290000}"/>
    <cellStyle name="Input 6 4 2 2 3 2" xfId="10615" xr:uid="{00000000-0005-0000-0000-000077290000}"/>
    <cellStyle name="Input 6 4 2 2 4" xfId="10616" xr:uid="{00000000-0005-0000-0000-000078290000}"/>
    <cellStyle name="Input 6 4 2 3" xfId="10617" xr:uid="{00000000-0005-0000-0000-000079290000}"/>
    <cellStyle name="Input 6 4 2 3 2" xfId="10618" xr:uid="{00000000-0005-0000-0000-00007A290000}"/>
    <cellStyle name="Input 6 4 2 3 2 2" xfId="10619" xr:uid="{00000000-0005-0000-0000-00007B290000}"/>
    <cellStyle name="Input 6 4 2 3 3" xfId="10620" xr:uid="{00000000-0005-0000-0000-00007C290000}"/>
    <cellStyle name="Input 6 4 2 4" xfId="10621" xr:uid="{00000000-0005-0000-0000-00007D290000}"/>
    <cellStyle name="Input 6 4 2 4 2" xfId="10622" xr:uid="{00000000-0005-0000-0000-00007E290000}"/>
    <cellStyle name="Input 6 4 2 5" xfId="10623" xr:uid="{00000000-0005-0000-0000-00007F290000}"/>
    <cellStyle name="Input 6 4 3" xfId="10624" xr:uid="{00000000-0005-0000-0000-000080290000}"/>
    <cellStyle name="Input 6 4 3 2" xfId="10625" xr:uid="{00000000-0005-0000-0000-000081290000}"/>
    <cellStyle name="Input 6 4 3 2 2" xfId="10626" xr:uid="{00000000-0005-0000-0000-000082290000}"/>
    <cellStyle name="Input 6 4 3 2 2 2" xfId="10627" xr:uid="{00000000-0005-0000-0000-000083290000}"/>
    <cellStyle name="Input 6 4 3 2 3" xfId="10628" xr:uid="{00000000-0005-0000-0000-000084290000}"/>
    <cellStyle name="Input 6 4 3 3" xfId="10629" xr:uid="{00000000-0005-0000-0000-000085290000}"/>
    <cellStyle name="Input 6 4 3 3 2" xfId="10630" xr:uid="{00000000-0005-0000-0000-000086290000}"/>
    <cellStyle name="Input 6 4 3 4" xfId="10631" xr:uid="{00000000-0005-0000-0000-000087290000}"/>
    <cellStyle name="Input 6 4 4" xfId="10632" xr:uid="{00000000-0005-0000-0000-000088290000}"/>
    <cellStyle name="Input 6 4 4 2" xfId="10633" xr:uid="{00000000-0005-0000-0000-000089290000}"/>
    <cellStyle name="Input 6 4 4 2 2" xfId="10634" xr:uid="{00000000-0005-0000-0000-00008A290000}"/>
    <cellStyle name="Input 6 4 4 3" xfId="10635" xr:uid="{00000000-0005-0000-0000-00008B290000}"/>
    <cellStyle name="Input 6 4 5" xfId="10636" xr:uid="{00000000-0005-0000-0000-00008C290000}"/>
    <cellStyle name="Input 6 4 5 2" xfId="10637" xr:uid="{00000000-0005-0000-0000-00008D290000}"/>
    <cellStyle name="Input 6 4 6" xfId="10638" xr:uid="{00000000-0005-0000-0000-00008E290000}"/>
    <cellStyle name="Input 6 5" xfId="10639" xr:uid="{00000000-0005-0000-0000-00008F290000}"/>
    <cellStyle name="Input 6 5 2" xfId="10640" xr:uid="{00000000-0005-0000-0000-000090290000}"/>
    <cellStyle name="Input 6 6" xfId="10641" xr:uid="{00000000-0005-0000-0000-000091290000}"/>
    <cellStyle name="Input 60" xfId="10642" xr:uid="{00000000-0005-0000-0000-000092290000}"/>
    <cellStyle name="Input 60 2" xfId="10643" xr:uid="{00000000-0005-0000-0000-000093290000}"/>
    <cellStyle name="Input 60 2 2" xfId="10644" xr:uid="{00000000-0005-0000-0000-000094290000}"/>
    <cellStyle name="Input 60 2 2 2" xfId="10645" xr:uid="{00000000-0005-0000-0000-000095290000}"/>
    <cellStyle name="Input 60 2 3" xfId="10646" xr:uid="{00000000-0005-0000-0000-000096290000}"/>
    <cellStyle name="Input 60 3" xfId="10647" xr:uid="{00000000-0005-0000-0000-000097290000}"/>
    <cellStyle name="Input 60 3 2" xfId="10648" xr:uid="{00000000-0005-0000-0000-000098290000}"/>
    <cellStyle name="Input 60 3 2 2" xfId="10649" xr:uid="{00000000-0005-0000-0000-000099290000}"/>
    <cellStyle name="Input 60 3 2 2 2" xfId="10650" xr:uid="{00000000-0005-0000-0000-00009A290000}"/>
    <cellStyle name="Input 60 3 2 3" xfId="10651" xr:uid="{00000000-0005-0000-0000-00009B290000}"/>
    <cellStyle name="Input 60 3 3" xfId="10652" xr:uid="{00000000-0005-0000-0000-00009C290000}"/>
    <cellStyle name="Input 60 3 3 2" xfId="10653" xr:uid="{00000000-0005-0000-0000-00009D290000}"/>
    <cellStyle name="Input 60 3 4" xfId="10654" xr:uid="{00000000-0005-0000-0000-00009E290000}"/>
    <cellStyle name="Input 60 4" xfId="10655" xr:uid="{00000000-0005-0000-0000-00009F290000}"/>
    <cellStyle name="Input 60 4 2" xfId="10656" xr:uid="{00000000-0005-0000-0000-0000A0290000}"/>
    <cellStyle name="Input 60 5" xfId="10657" xr:uid="{00000000-0005-0000-0000-0000A1290000}"/>
    <cellStyle name="Input 61" xfId="10658" xr:uid="{00000000-0005-0000-0000-0000A2290000}"/>
    <cellStyle name="Input 61 2" xfId="10659" xr:uid="{00000000-0005-0000-0000-0000A3290000}"/>
    <cellStyle name="Input 61 2 2" xfId="10660" xr:uid="{00000000-0005-0000-0000-0000A4290000}"/>
    <cellStyle name="Input 61 2 2 2" xfId="10661" xr:uid="{00000000-0005-0000-0000-0000A5290000}"/>
    <cellStyle name="Input 61 2 3" xfId="10662" xr:uid="{00000000-0005-0000-0000-0000A6290000}"/>
    <cellStyle name="Input 61 3" xfId="10663" xr:uid="{00000000-0005-0000-0000-0000A7290000}"/>
    <cellStyle name="Input 61 3 2" xfId="10664" xr:uid="{00000000-0005-0000-0000-0000A8290000}"/>
    <cellStyle name="Input 61 3 2 2" xfId="10665" xr:uid="{00000000-0005-0000-0000-0000A9290000}"/>
    <cellStyle name="Input 61 3 2 2 2" xfId="10666" xr:uid="{00000000-0005-0000-0000-0000AA290000}"/>
    <cellStyle name="Input 61 3 2 3" xfId="10667" xr:uid="{00000000-0005-0000-0000-0000AB290000}"/>
    <cellStyle name="Input 61 3 3" xfId="10668" xr:uid="{00000000-0005-0000-0000-0000AC290000}"/>
    <cellStyle name="Input 61 3 3 2" xfId="10669" xr:uid="{00000000-0005-0000-0000-0000AD290000}"/>
    <cellStyle name="Input 61 3 4" xfId="10670" xr:uid="{00000000-0005-0000-0000-0000AE290000}"/>
    <cellStyle name="Input 61 4" xfId="10671" xr:uid="{00000000-0005-0000-0000-0000AF290000}"/>
    <cellStyle name="Input 61 4 2" xfId="10672" xr:uid="{00000000-0005-0000-0000-0000B0290000}"/>
    <cellStyle name="Input 61 5" xfId="10673" xr:uid="{00000000-0005-0000-0000-0000B1290000}"/>
    <cellStyle name="Input 62" xfId="10674" xr:uid="{00000000-0005-0000-0000-0000B2290000}"/>
    <cellStyle name="Input 62 2" xfId="10675" xr:uid="{00000000-0005-0000-0000-0000B3290000}"/>
    <cellStyle name="Input 62 2 2" xfId="10676" xr:uid="{00000000-0005-0000-0000-0000B4290000}"/>
    <cellStyle name="Input 62 2 2 2" xfId="10677" xr:uid="{00000000-0005-0000-0000-0000B5290000}"/>
    <cellStyle name="Input 62 2 3" xfId="10678" xr:uid="{00000000-0005-0000-0000-0000B6290000}"/>
    <cellStyle name="Input 62 3" xfId="10679" xr:uid="{00000000-0005-0000-0000-0000B7290000}"/>
    <cellStyle name="Input 62 3 2" xfId="10680" xr:uid="{00000000-0005-0000-0000-0000B8290000}"/>
    <cellStyle name="Input 62 3 2 2" xfId="10681" xr:uid="{00000000-0005-0000-0000-0000B9290000}"/>
    <cellStyle name="Input 62 3 2 2 2" xfId="10682" xr:uid="{00000000-0005-0000-0000-0000BA290000}"/>
    <cellStyle name="Input 62 3 2 3" xfId="10683" xr:uid="{00000000-0005-0000-0000-0000BB290000}"/>
    <cellStyle name="Input 62 3 3" xfId="10684" xr:uid="{00000000-0005-0000-0000-0000BC290000}"/>
    <cellStyle name="Input 62 3 3 2" xfId="10685" xr:uid="{00000000-0005-0000-0000-0000BD290000}"/>
    <cellStyle name="Input 62 3 4" xfId="10686" xr:uid="{00000000-0005-0000-0000-0000BE290000}"/>
    <cellStyle name="Input 62 4" xfId="10687" xr:uid="{00000000-0005-0000-0000-0000BF290000}"/>
    <cellStyle name="Input 62 4 2" xfId="10688" xr:uid="{00000000-0005-0000-0000-0000C0290000}"/>
    <cellStyle name="Input 62 5" xfId="10689" xr:uid="{00000000-0005-0000-0000-0000C1290000}"/>
    <cellStyle name="Input 63" xfId="10690" xr:uid="{00000000-0005-0000-0000-0000C2290000}"/>
    <cellStyle name="Input 63 2" xfId="10691" xr:uid="{00000000-0005-0000-0000-0000C3290000}"/>
    <cellStyle name="Input 63 2 2" xfId="10692" xr:uid="{00000000-0005-0000-0000-0000C4290000}"/>
    <cellStyle name="Input 63 2 2 2" xfId="10693" xr:uid="{00000000-0005-0000-0000-0000C5290000}"/>
    <cellStyle name="Input 63 2 3" xfId="10694" xr:uid="{00000000-0005-0000-0000-0000C6290000}"/>
    <cellStyle name="Input 63 3" xfId="10695" xr:uid="{00000000-0005-0000-0000-0000C7290000}"/>
    <cellStyle name="Input 63 3 2" xfId="10696" xr:uid="{00000000-0005-0000-0000-0000C8290000}"/>
    <cellStyle name="Input 63 3 2 2" xfId="10697" xr:uid="{00000000-0005-0000-0000-0000C9290000}"/>
    <cellStyle name="Input 63 3 2 2 2" xfId="10698" xr:uid="{00000000-0005-0000-0000-0000CA290000}"/>
    <cellStyle name="Input 63 3 2 3" xfId="10699" xr:uid="{00000000-0005-0000-0000-0000CB290000}"/>
    <cellStyle name="Input 63 3 3" xfId="10700" xr:uid="{00000000-0005-0000-0000-0000CC290000}"/>
    <cellStyle name="Input 63 3 3 2" xfId="10701" xr:uid="{00000000-0005-0000-0000-0000CD290000}"/>
    <cellStyle name="Input 63 3 4" xfId="10702" xr:uid="{00000000-0005-0000-0000-0000CE290000}"/>
    <cellStyle name="Input 63 4" xfId="10703" xr:uid="{00000000-0005-0000-0000-0000CF290000}"/>
    <cellStyle name="Input 63 4 2" xfId="10704" xr:uid="{00000000-0005-0000-0000-0000D0290000}"/>
    <cellStyle name="Input 63 5" xfId="10705" xr:uid="{00000000-0005-0000-0000-0000D1290000}"/>
    <cellStyle name="Input 64" xfId="10706" xr:uid="{00000000-0005-0000-0000-0000D2290000}"/>
    <cellStyle name="Input 64 2" xfId="10707" xr:uid="{00000000-0005-0000-0000-0000D3290000}"/>
    <cellStyle name="Input 64 2 2" xfId="10708" xr:uid="{00000000-0005-0000-0000-0000D4290000}"/>
    <cellStyle name="Input 64 2 2 2" xfId="10709" xr:uid="{00000000-0005-0000-0000-0000D5290000}"/>
    <cellStyle name="Input 64 2 3" xfId="10710" xr:uid="{00000000-0005-0000-0000-0000D6290000}"/>
    <cellStyle name="Input 64 3" xfId="10711" xr:uid="{00000000-0005-0000-0000-0000D7290000}"/>
    <cellStyle name="Input 64 3 2" xfId="10712" xr:uid="{00000000-0005-0000-0000-0000D8290000}"/>
    <cellStyle name="Input 64 3 2 2" xfId="10713" xr:uid="{00000000-0005-0000-0000-0000D9290000}"/>
    <cellStyle name="Input 64 3 2 2 2" xfId="10714" xr:uid="{00000000-0005-0000-0000-0000DA290000}"/>
    <cellStyle name="Input 64 3 2 3" xfId="10715" xr:uid="{00000000-0005-0000-0000-0000DB290000}"/>
    <cellStyle name="Input 64 3 3" xfId="10716" xr:uid="{00000000-0005-0000-0000-0000DC290000}"/>
    <cellStyle name="Input 64 3 3 2" xfId="10717" xr:uid="{00000000-0005-0000-0000-0000DD290000}"/>
    <cellStyle name="Input 64 3 4" xfId="10718" xr:uid="{00000000-0005-0000-0000-0000DE290000}"/>
    <cellStyle name="Input 64 4" xfId="10719" xr:uid="{00000000-0005-0000-0000-0000DF290000}"/>
    <cellStyle name="Input 64 4 2" xfId="10720" xr:uid="{00000000-0005-0000-0000-0000E0290000}"/>
    <cellStyle name="Input 64 5" xfId="10721" xr:uid="{00000000-0005-0000-0000-0000E1290000}"/>
    <cellStyle name="Input 65" xfId="10722" xr:uid="{00000000-0005-0000-0000-0000E2290000}"/>
    <cellStyle name="Input 65 2" xfId="10723" xr:uid="{00000000-0005-0000-0000-0000E3290000}"/>
    <cellStyle name="Input 65 2 2" xfId="10724" xr:uid="{00000000-0005-0000-0000-0000E4290000}"/>
    <cellStyle name="Input 65 2 2 2" xfId="10725" xr:uid="{00000000-0005-0000-0000-0000E5290000}"/>
    <cellStyle name="Input 65 2 3" xfId="10726" xr:uid="{00000000-0005-0000-0000-0000E6290000}"/>
    <cellStyle name="Input 65 3" xfId="10727" xr:uid="{00000000-0005-0000-0000-0000E7290000}"/>
    <cellStyle name="Input 65 3 2" xfId="10728" xr:uid="{00000000-0005-0000-0000-0000E8290000}"/>
    <cellStyle name="Input 65 3 2 2" xfId="10729" xr:uid="{00000000-0005-0000-0000-0000E9290000}"/>
    <cellStyle name="Input 65 3 2 2 2" xfId="10730" xr:uid="{00000000-0005-0000-0000-0000EA290000}"/>
    <cellStyle name="Input 65 3 2 3" xfId="10731" xr:uid="{00000000-0005-0000-0000-0000EB290000}"/>
    <cellStyle name="Input 65 3 3" xfId="10732" xr:uid="{00000000-0005-0000-0000-0000EC290000}"/>
    <cellStyle name="Input 65 3 3 2" xfId="10733" xr:uid="{00000000-0005-0000-0000-0000ED290000}"/>
    <cellStyle name="Input 65 3 4" xfId="10734" xr:uid="{00000000-0005-0000-0000-0000EE290000}"/>
    <cellStyle name="Input 65 4" xfId="10735" xr:uid="{00000000-0005-0000-0000-0000EF290000}"/>
    <cellStyle name="Input 65 4 2" xfId="10736" xr:uid="{00000000-0005-0000-0000-0000F0290000}"/>
    <cellStyle name="Input 65 5" xfId="10737" xr:uid="{00000000-0005-0000-0000-0000F1290000}"/>
    <cellStyle name="Input 66" xfId="10738" xr:uid="{00000000-0005-0000-0000-0000F2290000}"/>
    <cellStyle name="Input 66 2" xfId="10739" xr:uid="{00000000-0005-0000-0000-0000F3290000}"/>
    <cellStyle name="Input 66 2 2" xfId="10740" xr:uid="{00000000-0005-0000-0000-0000F4290000}"/>
    <cellStyle name="Input 66 2 2 2" xfId="10741" xr:uid="{00000000-0005-0000-0000-0000F5290000}"/>
    <cellStyle name="Input 66 2 3" xfId="10742" xr:uid="{00000000-0005-0000-0000-0000F6290000}"/>
    <cellStyle name="Input 66 3" xfId="10743" xr:uid="{00000000-0005-0000-0000-0000F7290000}"/>
    <cellStyle name="Input 66 3 2" xfId="10744" xr:uid="{00000000-0005-0000-0000-0000F8290000}"/>
    <cellStyle name="Input 66 3 2 2" xfId="10745" xr:uid="{00000000-0005-0000-0000-0000F9290000}"/>
    <cellStyle name="Input 66 3 2 2 2" xfId="10746" xr:uid="{00000000-0005-0000-0000-0000FA290000}"/>
    <cellStyle name="Input 66 3 2 3" xfId="10747" xr:uid="{00000000-0005-0000-0000-0000FB290000}"/>
    <cellStyle name="Input 66 3 3" xfId="10748" xr:uid="{00000000-0005-0000-0000-0000FC290000}"/>
    <cellStyle name="Input 66 3 3 2" xfId="10749" xr:uid="{00000000-0005-0000-0000-0000FD290000}"/>
    <cellStyle name="Input 66 3 4" xfId="10750" xr:uid="{00000000-0005-0000-0000-0000FE290000}"/>
    <cellStyle name="Input 66 4" xfId="10751" xr:uid="{00000000-0005-0000-0000-0000FF290000}"/>
    <cellStyle name="Input 66 4 2" xfId="10752" xr:uid="{00000000-0005-0000-0000-0000002A0000}"/>
    <cellStyle name="Input 66 5" xfId="10753" xr:uid="{00000000-0005-0000-0000-0000012A0000}"/>
    <cellStyle name="Input 67" xfId="10754" xr:uid="{00000000-0005-0000-0000-0000022A0000}"/>
    <cellStyle name="Input 67 2" xfId="10755" xr:uid="{00000000-0005-0000-0000-0000032A0000}"/>
    <cellStyle name="Input 67 2 2" xfId="10756" xr:uid="{00000000-0005-0000-0000-0000042A0000}"/>
    <cellStyle name="Input 67 2 2 2" xfId="10757" xr:uid="{00000000-0005-0000-0000-0000052A0000}"/>
    <cellStyle name="Input 67 2 3" xfId="10758" xr:uid="{00000000-0005-0000-0000-0000062A0000}"/>
    <cellStyle name="Input 67 3" xfId="10759" xr:uid="{00000000-0005-0000-0000-0000072A0000}"/>
    <cellStyle name="Input 67 3 2" xfId="10760" xr:uid="{00000000-0005-0000-0000-0000082A0000}"/>
    <cellStyle name="Input 67 3 2 2" xfId="10761" xr:uid="{00000000-0005-0000-0000-0000092A0000}"/>
    <cellStyle name="Input 67 3 2 2 2" xfId="10762" xr:uid="{00000000-0005-0000-0000-00000A2A0000}"/>
    <cellStyle name="Input 67 3 2 3" xfId="10763" xr:uid="{00000000-0005-0000-0000-00000B2A0000}"/>
    <cellStyle name="Input 67 3 3" xfId="10764" xr:uid="{00000000-0005-0000-0000-00000C2A0000}"/>
    <cellStyle name="Input 67 3 3 2" xfId="10765" xr:uid="{00000000-0005-0000-0000-00000D2A0000}"/>
    <cellStyle name="Input 67 3 4" xfId="10766" xr:uid="{00000000-0005-0000-0000-00000E2A0000}"/>
    <cellStyle name="Input 67 4" xfId="10767" xr:uid="{00000000-0005-0000-0000-00000F2A0000}"/>
    <cellStyle name="Input 67 4 2" xfId="10768" xr:uid="{00000000-0005-0000-0000-0000102A0000}"/>
    <cellStyle name="Input 67 5" xfId="10769" xr:uid="{00000000-0005-0000-0000-0000112A0000}"/>
    <cellStyle name="Input 68" xfId="10770" xr:uid="{00000000-0005-0000-0000-0000122A0000}"/>
    <cellStyle name="Input 68 2" xfId="10771" xr:uid="{00000000-0005-0000-0000-0000132A0000}"/>
    <cellStyle name="Input 68 2 2" xfId="10772" xr:uid="{00000000-0005-0000-0000-0000142A0000}"/>
    <cellStyle name="Input 68 2 2 2" xfId="10773" xr:uid="{00000000-0005-0000-0000-0000152A0000}"/>
    <cellStyle name="Input 68 2 3" xfId="10774" xr:uid="{00000000-0005-0000-0000-0000162A0000}"/>
    <cellStyle name="Input 68 3" xfId="10775" xr:uid="{00000000-0005-0000-0000-0000172A0000}"/>
    <cellStyle name="Input 68 3 2" xfId="10776" xr:uid="{00000000-0005-0000-0000-0000182A0000}"/>
    <cellStyle name="Input 68 3 2 2" xfId="10777" xr:uid="{00000000-0005-0000-0000-0000192A0000}"/>
    <cellStyle name="Input 68 3 2 2 2" xfId="10778" xr:uid="{00000000-0005-0000-0000-00001A2A0000}"/>
    <cellStyle name="Input 68 3 2 3" xfId="10779" xr:uid="{00000000-0005-0000-0000-00001B2A0000}"/>
    <cellStyle name="Input 68 3 3" xfId="10780" xr:uid="{00000000-0005-0000-0000-00001C2A0000}"/>
    <cellStyle name="Input 68 3 3 2" xfId="10781" xr:uid="{00000000-0005-0000-0000-00001D2A0000}"/>
    <cellStyle name="Input 68 3 4" xfId="10782" xr:uid="{00000000-0005-0000-0000-00001E2A0000}"/>
    <cellStyle name="Input 68 4" xfId="10783" xr:uid="{00000000-0005-0000-0000-00001F2A0000}"/>
    <cellStyle name="Input 68 4 2" xfId="10784" xr:uid="{00000000-0005-0000-0000-0000202A0000}"/>
    <cellStyle name="Input 68 5" xfId="10785" xr:uid="{00000000-0005-0000-0000-0000212A0000}"/>
    <cellStyle name="Input 69" xfId="10786" xr:uid="{00000000-0005-0000-0000-0000222A0000}"/>
    <cellStyle name="Input 69 2" xfId="10787" xr:uid="{00000000-0005-0000-0000-0000232A0000}"/>
    <cellStyle name="Input 69 2 2" xfId="10788" xr:uid="{00000000-0005-0000-0000-0000242A0000}"/>
    <cellStyle name="Input 69 2 2 2" xfId="10789" xr:uid="{00000000-0005-0000-0000-0000252A0000}"/>
    <cellStyle name="Input 69 2 3" xfId="10790" xr:uid="{00000000-0005-0000-0000-0000262A0000}"/>
    <cellStyle name="Input 69 3" xfId="10791" xr:uid="{00000000-0005-0000-0000-0000272A0000}"/>
    <cellStyle name="Input 69 3 2" xfId="10792" xr:uid="{00000000-0005-0000-0000-0000282A0000}"/>
    <cellStyle name="Input 69 3 2 2" xfId="10793" xr:uid="{00000000-0005-0000-0000-0000292A0000}"/>
    <cellStyle name="Input 69 3 2 2 2" xfId="10794" xr:uid="{00000000-0005-0000-0000-00002A2A0000}"/>
    <cellStyle name="Input 69 3 2 3" xfId="10795" xr:uid="{00000000-0005-0000-0000-00002B2A0000}"/>
    <cellStyle name="Input 69 3 3" xfId="10796" xr:uid="{00000000-0005-0000-0000-00002C2A0000}"/>
    <cellStyle name="Input 69 3 3 2" xfId="10797" xr:uid="{00000000-0005-0000-0000-00002D2A0000}"/>
    <cellStyle name="Input 69 3 4" xfId="10798" xr:uid="{00000000-0005-0000-0000-00002E2A0000}"/>
    <cellStyle name="Input 69 4" xfId="10799" xr:uid="{00000000-0005-0000-0000-00002F2A0000}"/>
    <cellStyle name="Input 69 4 2" xfId="10800" xr:uid="{00000000-0005-0000-0000-0000302A0000}"/>
    <cellStyle name="Input 69 5" xfId="10801" xr:uid="{00000000-0005-0000-0000-0000312A0000}"/>
    <cellStyle name="Input 7" xfId="10802" xr:uid="{00000000-0005-0000-0000-0000322A0000}"/>
    <cellStyle name="Input 7 2" xfId="10803" xr:uid="{00000000-0005-0000-0000-0000332A0000}"/>
    <cellStyle name="Input 7 2 2" xfId="10804" xr:uid="{00000000-0005-0000-0000-0000342A0000}"/>
    <cellStyle name="Input 7 2 2 2" xfId="10805" xr:uid="{00000000-0005-0000-0000-0000352A0000}"/>
    <cellStyle name="Input 7 2 2 2 2" xfId="10806" xr:uid="{00000000-0005-0000-0000-0000362A0000}"/>
    <cellStyle name="Input 7 2 2 3" xfId="10807" xr:uid="{00000000-0005-0000-0000-0000372A0000}"/>
    <cellStyle name="Input 7 2 3" xfId="10808" xr:uid="{00000000-0005-0000-0000-0000382A0000}"/>
    <cellStyle name="Input 7 2 3 2" xfId="10809" xr:uid="{00000000-0005-0000-0000-0000392A0000}"/>
    <cellStyle name="Input 7 2 3 2 2" xfId="10810" xr:uid="{00000000-0005-0000-0000-00003A2A0000}"/>
    <cellStyle name="Input 7 2 3 2 2 2" xfId="10811" xr:uid="{00000000-0005-0000-0000-00003B2A0000}"/>
    <cellStyle name="Input 7 2 3 2 3" xfId="10812" xr:uid="{00000000-0005-0000-0000-00003C2A0000}"/>
    <cellStyle name="Input 7 2 3 3" xfId="10813" xr:uid="{00000000-0005-0000-0000-00003D2A0000}"/>
    <cellStyle name="Input 7 2 3 3 2" xfId="10814" xr:uid="{00000000-0005-0000-0000-00003E2A0000}"/>
    <cellStyle name="Input 7 2 3 4" xfId="10815" xr:uid="{00000000-0005-0000-0000-00003F2A0000}"/>
    <cellStyle name="Input 7 2 4" xfId="10816" xr:uid="{00000000-0005-0000-0000-0000402A0000}"/>
    <cellStyle name="Input 7 2 4 2" xfId="10817" xr:uid="{00000000-0005-0000-0000-0000412A0000}"/>
    <cellStyle name="Input 7 2 5" xfId="10818" xr:uid="{00000000-0005-0000-0000-0000422A0000}"/>
    <cellStyle name="Input 7 3" xfId="10819" xr:uid="{00000000-0005-0000-0000-0000432A0000}"/>
    <cellStyle name="Input 7 3 2" xfId="10820" xr:uid="{00000000-0005-0000-0000-0000442A0000}"/>
    <cellStyle name="Input 7 3 2 2" xfId="10821" xr:uid="{00000000-0005-0000-0000-0000452A0000}"/>
    <cellStyle name="Input 7 3 3" xfId="10822" xr:uid="{00000000-0005-0000-0000-0000462A0000}"/>
    <cellStyle name="Input 7 4" xfId="10823" xr:uid="{00000000-0005-0000-0000-0000472A0000}"/>
    <cellStyle name="Input 7 4 2" xfId="10824" xr:uid="{00000000-0005-0000-0000-0000482A0000}"/>
    <cellStyle name="Input 7 4 2 2" xfId="10825" xr:uid="{00000000-0005-0000-0000-0000492A0000}"/>
    <cellStyle name="Input 7 4 2 2 2" xfId="10826" xr:uid="{00000000-0005-0000-0000-00004A2A0000}"/>
    <cellStyle name="Input 7 4 2 2 2 2" xfId="10827" xr:uid="{00000000-0005-0000-0000-00004B2A0000}"/>
    <cellStyle name="Input 7 4 2 2 2 2 2" xfId="10828" xr:uid="{00000000-0005-0000-0000-00004C2A0000}"/>
    <cellStyle name="Input 7 4 2 2 2 3" xfId="10829" xr:uid="{00000000-0005-0000-0000-00004D2A0000}"/>
    <cellStyle name="Input 7 4 2 2 3" xfId="10830" xr:uid="{00000000-0005-0000-0000-00004E2A0000}"/>
    <cellStyle name="Input 7 4 2 2 3 2" xfId="10831" xr:uid="{00000000-0005-0000-0000-00004F2A0000}"/>
    <cellStyle name="Input 7 4 2 2 4" xfId="10832" xr:uid="{00000000-0005-0000-0000-0000502A0000}"/>
    <cellStyle name="Input 7 4 2 3" xfId="10833" xr:uid="{00000000-0005-0000-0000-0000512A0000}"/>
    <cellStyle name="Input 7 4 2 3 2" xfId="10834" xr:uid="{00000000-0005-0000-0000-0000522A0000}"/>
    <cellStyle name="Input 7 4 2 3 2 2" xfId="10835" xr:uid="{00000000-0005-0000-0000-0000532A0000}"/>
    <cellStyle name="Input 7 4 2 3 3" xfId="10836" xr:uid="{00000000-0005-0000-0000-0000542A0000}"/>
    <cellStyle name="Input 7 4 2 4" xfId="10837" xr:uid="{00000000-0005-0000-0000-0000552A0000}"/>
    <cellStyle name="Input 7 4 2 4 2" xfId="10838" xr:uid="{00000000-0005-0000-0000-0000562A0000}"/>
    <cellStyle name="Input 7 4 2 5" xfId="10839" xr:uid="{00000000-0005-0000-0000-0000572A0000}"/>
    <cellStyle name="Input 7 4 3" xfId="10840" xr:uid="{00000000-0005-0000-0000-0000582A0000}"/>
    <cellStyle name="Input 7 4 3 2" xfId="10841" xr:uid="{00000000-0005-0000-0000-0000592A0000}"/>
    <cellStyle name="Input 7 4 3 2 2" xfId="10842" xr:uid="{00000000-0005-0000-0000-00005A2A0000}"/>
    <cellStyle name="Input 7 4 3 2 2 2" xfId="10843" xr:uid="{00000000-0005-0000-0000-00005B2A0000}"/>
    <cellStyle name="Input 7 4 3 2 3" xfId="10844" xr:uid="{00000000-0005-0000-0000-00005C2A0000}"/>
    <cellStyle name="Input 7 4 3 3" xfId="10845" xr:uid="{00000000-0005-0000-0000-00005D2A0000}"/>
    <cellStyle name="Input 7 4 3 3 2" xfId="10846" xr:uid="{00000000-0005-0000-0000-00005E2A0000}"/>
    <cellStyle name="Input 7 4 3 4" xfId="10847" xr:uid="{00000000-0005-0000-0000-00005F2A0000}"/>
    <cellStyle name="Input 7 4 4" xfId="10848" xr:uid="{00000000-0005-0000-0000-0000602A0000}"/>
    <cellStyle name="Input 7 4 4 2" xfId="10849" xr:uid="{00000000-0005-0000-0000-0000612A0000}"/>
    <cellStyle name="Input 7 4 4 2 2" xfId="10850" xr:uid="{00000000-0005-0000-0000-0000622A0000}"/>
    <cellStyle name="Input 7 4 4 3" xfId="10851" xr:uid="{00000000-0005-0000-0000-0000632A0000}"/>
    <cellStyle name="Input 7 4 5" xfId="10852" xr:uid="{00000000-0005-0000-0000-0000642A0000}"/>
    <cellStyle name="Input 7 4 5 2" xfId="10853" xr:uid="{00000000-0005-0000-0000-0000652A0000}"/>
    <cellStyle name="Input 7 4 6" xfId="10854" xr:uid="{00000000-0005-0000-0000-0000662A0000}"/>
    <cellStyle name="Input 7 5" xfId="10855" xr:uid="{00000000-0005-0000-0000-0000672A0000}"/>
    <cellStyle name="Input 7 5 2" xfId="10856" xr:uid="{00000000-0005-0000-0000-0000682A0000}"/>
    <cellStyle name="Input 7 6" xfId="10857" xr:uid="{00000000-0005-0000-0000-0000692A0000}"/>
    <cellStyle name="Input 70" xfId="10858" xr:uid="{00000000-0005-0000-0000-00006A2A0000}"/>
    <cellStyle name="Input 70 2" xfId="10859" xr:uid="{00000000-0005-0000-0000-00006B2A0000}"/>
    <cellStyle name="Input 70 2 2" xfId="10860" xr:uid="{00000000-0005-0000-0000-00006C2A0000}"/>
    <cellStyle name="Input 70 2 2 2" xfId="10861" xr:uid="{00000000-0005-0000-0000-00006D2A0000}"/>
    <cellStyle name="Input 70 2 3" xfId="10862" xr:uid="{00000000-0005-0000-0000-00006E2A0000}"/>
    <cellStyle name="Input 70 3" xfId="10863" xr:uid="{00000000-0005-0000-0000-00006F2A0000}"/>
    <cellStyle name="Input 70 3 2" xfId="10864" xr:uid="{00000000-0005-0000-0000-0000702A0000}"/>
    <cellStyle name="Input 70 3 2 2" xfId="10865" xr:uid="{00000000-0005-0000-0000-0000712A0000}"/>
    <cellStyle name="Input 70 3 2 2 2" xfId="10866" xr:uid="{00000000-0005-0000-0000-0000722A0000}"/>
    <cellStyle name="Input 70 3 2 3" xfId="10867" xr:uid="{00000000-0005-0000-0000-0000732A0000}"/>
    <cellStyle name="Input 70 3 3" xfId="10868" xr:uid="{00000000-0005-0000-0000-0000742A0000}"/>
    <cellStyle name="Input 70 3 3 2" xfId="10869" xr:uid="{00000000-0005-0000-0000-0000752A0000}"/>
    <cellStyle name="Input 70 3 4" xfId="10870" xr:uid="{00000000-0005-0000-0000-0000762A0000}"/>
    <cellStyle name="Input 70 4" xfId="10871" xr:uid="{00000000-0005-0000-0000-0000772A0000}"/>
    <cellStyle name="Input 70 4 2" xfId="10872" xr:uid="{00000000-0005-0000-0000-0000782A0000}"/>
    <cellStyle name="Input 70 5" xfId="10873" xr:uid="{00000000-0005-0000-0000-0000792A0000}"/>
    <cellStyle name="Input 71" xfId="10874" xr:uid="{00000000-0005-0000-0000-00007A2A0000}"/>
    <cellStyle name="Input 71 2" xfId="10875" xr:uid="{00000000-0005-0000-0000-00007B2A0000}"/>
    <cellStyle name="Input 71 2 2" xfId="10876" xr:uid="{00000000-0005-0000-0000-00007C2A0000}"/>
    <cellStyle name="Input 71 2 2 2" xfId="10877" xr:uid="{00000000-0005-0000-0000-00007D2A0000}"/>
    <cellStyle name="Input 71 2 3" xfId="10878" xr:uid="{00000000-0005-0000-0000-00007E2A0000}"/>
    <cellStyle name="Input 71 3" xfId="10879" xr:uid="{00000000-0005-0000-0000-00007F2A0000}"/>
    <cellStyle name="Input 71 3 2" xfId="10880" xr:uid="{00000000-0005-0000-0000-0000802A0000}"/>
    <cellStyle name="Input 71 3 2 2" xfId="10881" xr:uid="{00000000-0005-0000-0000-0000812A0000}"/>
    <cellStyle name="Input 71 3 2 2 2" xfId="10882" xr:uid="{00000000-0005-0000-0000-0000822A0000}"/>
    <cellStyle name="Input 71 3 2 3" xfId="10883" xr:uid="{00000000-0005-0000-0000-0000832A0000}"/>
    <cellStyle name="Input 71 3 3" xfId="10884" xr:uid="{00000000-0005-0000-0000-0000842A0000}"/>
    <cellStyle name="Input 71 3 3 2" xfId="10885" xr:uid="{00000000-0005-0000-0000-0000852A0000}"/>
    <cellStyle name="Input 71 3 4" xfId="10886" xr:uid="{00000000-0005-0000-0000-0000862A0000}"/>
    <cellStyle name="Input 71 4" xfId="10887" xr:uid="{00000000-0005-0000-0000-0000872A0000}"/>
    <cellStyle name="Input 71 4 2" xfId="10888" xr:uid="{00000000-0005-0000-0000-0000882A0000}"/>
    <cellStyle name="Input 71 5" xfId="10889" xr:uid="{00000000-0005-0000-0000-0000892A0000}"/>
    <cellStyle name="Input 72" xfId="10890" xr:uid="{00000000-0005-0000-0000-00008A2A0000}"/>
    <cellStyle name="Input 72 2" xfId="10891" xr:uid="{00000000-0005-0000-0000-00008B2A0000}"/>
    <cellStyle name="Input 72 2 2" xfId="10892" xr:uid="{00000000-0005-0000-0000-00008C2A0000}"/>
    <cellStyle name="Input 72 2 2 2" xfId="10893" xr:uid="{00000000-0005-0000-0000-00008D2A0000}"/>
    <cellStyle name="Input 72 2 3" xfId="10894" xr:uid="{00000000-0005-0000-0000-00008E2A0000}"/>
    <cellStyle name="Input 72 3" xfId="10895" xr:uid="{00000000-0005-0000-0000-00008F2A0000}"/>
    <cellStyle name="Input 72 3 2" xfId="10896" xr:uid="{00000000-0005-0000-0000-0000902A0000}"/>
    <cellStyle name="Input 72 3 2 2" xfId="10897" xr:uid="{00000000-0005-0000-0000-0000912A0000}"/>
    <cellStyle name="Input 72 3 2 2 2" xfId="10898" xr:uid="{00000000-0005-0000-0000-0000922A0000}"/>
    <cellStyle name="Input 72 3 2 3" xfId="10899" xr:uid="{00000000-0005-0000-0000-0000932A0000}"/>
    <cellStyle name="Input 72 3 3" xfId="10900" xr:uid="{00000000-0005-0000-0000-0000942A0000}"/>
    <cellStyle name="Input 72 3 3 2" xfId="10901" xr:uid="{00000000-0005-0000-0000-0000952A0000}"/>
    <cellStyle name="Input 72 3 4" xfId="10902" xr:uid="{00000000-0005-0000-0000-0000962A0000}"/>
    <cellStyle name="Input 72 4" xfId="10903" xr:uid="{00000000-0005-0000-0000-0000972A0000}"/>
    <cellStyle name="Input 72 4 2" xfId="10904" xr:uid="{00000000-0005-0000-0000-0000982A0000}"/>
    <cellStyle name="Input 72 5" xfId="10905" xr:uid="{00000000-0005-0000-0000-0000992A0000}"/>
    <cellStyle name="Input 73" xfId="10906" xr:uid="{00000000-0005-0000-0000-00009A2A0000}"/>
    <cellStyle name="Input 73 2" xfId="10907" xr:uid="{00000000-0005-0000-0000-00009B2A0000}"/>
    <cellStyle name="Input 73 2 2" xfId="10908" xr:uid="{00000000-0005-0000-0000-00009C2A0000}"/>
    <cellStyle name="Input 73 2 2 2" xfId="10909" xr:uid="{00000000-0005-0000-0000-00009D2A0000}"/>
    <cellStyle name="Input 73 2 3" xfId="10910" xr:uid="{00000000-0005-0000-0000-00009E2A0000}"/>
    <cellStyle name="Input 73 3" xfId="10911" xr:uid="{00000000-0005-0000-0000-00009F2A0000}"/>
    <cellStyle name="Input 73 3 2" xfId="10912" xr:uid="{00000000-0005-0000-0000-0000A02A0000}"/>
    <cellStyle name="Input 73 3 2 2" xfId="10913" xr:uid="{00000000-0005-0000-0000-0000A12A0000}"/>
    <cellStyle name="Input 73 3 2 2 2" xfId="10914" xr:uid="{00000000-0005-0000-0000-0000A22A0000}"/>
    <cellStyle name="Input 73 3 2 3" xfId="10915" xr:uid="{00000000-0005-0000-0000-0000A32A0000}"/>
    <cellStyle name="Input 73 3 3" xfId="10916" xr:uid="{00000000-0005-0000-0000-0000A42A0000}"/>
    <cellStyle name="Input 73 3 3 2" xfId="10917" xr:uid="{00000000-0005-0000-0000-0000A52A0000}"/>
    <cellStyle name="Input 73 3 4" xfId="10918" xr:uid="{00000000-0005-0000-0000-0000A62A0000}"/>
    <cellStyle name="Input 73 4" xfId="10919" xr:uid="{00000000-0005-0000-0000-0000A72A0000}"/>
    <cellStyle name="Input 73 4 2" xfId="10920" xr:uid="{00000000-0005-0000-0000-0000A82A0000}"/>
    <cellStyle name="Input 73 5" xfId="10921" xr:uid="{00000000-0005-0000-0000-0000A92A0000}"/>
    <cellStyle name="Input 74" xfId="10922" xr:uid="{00000000-0005-0000-0000-0000AA2A0000}"/>
    <cellStyle name="Input 74 2" xfId="10923" xr:uid="{00000000-0005-0000-0000-0000AB2A0000}"/>
    <cellStyle name="Input 74 2 2" xfId="10924" xr:uid="{00000000-0005-0000-0000-0000AC2A0000}"/>
    <cellStyle name="Input 74 2 2 2" xfId="10925" xr:uid="{00000000-0005-0000-0000-0000AD2A0000}"/>
    <cellStyle name="Input 74 2 3" xfId="10926" xr:uid="{00000000-0005-0000-0000-0000AE2A0000}"/>
    <cellStyle name="Input 74 3" xfId="10927" xr:uid="{00000000-0005-0000-0000-0000AF2A0000}"/>
    <cellStyle name="Input 74 3 2" xfId="10928" xr:uid="{00000000-0005-0000-0000-0000B02A0000}"/>
    <cellStyle name="Input 74 3 2 2" xfId="10929" xr:uid="{00000000-0005-0000-0000-0000B12A0000}"/>
    <cellStyle name="Input 74 3 2 2 2" xfId="10930" xr:uid="{00000000-0005-0000-0000-0000B22A0000}"/>
    <cellStyle name="Input 74 3 2 3" xfId="10931" xr:uid="{00000000-0005-0000-0000-0000B32A0000}"/>
    <cellStyle name="Input 74 3 3" xfId="10932" xr:uid="{00000000-0005-0000-0000-0000B42A0000}"/>
    <cellStyle name="Input 74 3 3 2" xfId="10933" xr:uid="{00000000-0005-0000-0000-0000B52A0000}"/>
    <cellStyle name="Input 74 3 4" xfId="10934" xr:uid="{00000000-0005-0000-0000-0000B62A0000}"/>
    <cellStyle name="Input 74 4" xfId="10935" xr:uid="{00000000-0005-0000-0000-0000B72A0000}"/>
    <cellStyle name="Input 74 4 2" xfId="10936" xr:uid="{00000000-0005-0000-0000-0000B82A0000}"/>
    <cellStyle name="Input 74 5" xfId="10937" xr:uid="{00000000-0005-0000-0000-0000B92A0000}"/>
    <cellStyle name="Input 75" xfId="10938" xr:uid="{00000000-0005-0000-0000-0000BA2A0000}"/>
    <cellStyle name="Input 75 2" xfId="10939" xr:uid="{00000000-0005-0000-0000-0000BB2A0000}"/>
    <cellStyle name="Input 75 2 2" xfId="10940" xr:uid="{00000000-0005-0000-0000-0000BC2A0000}"/>
    <cellStyle name="Input 75 2 2 2" xfId="10941" xr:uid="{00000000-0005-0000-0000-0000BD2A0000}"/>
    <cellStyle name="Input 75 2 3" xfId="10942" xr:uid="{00000000-0005-0000-0000-0000BE2A0000}"/>
    <cellStyle name="Input 75 3" xfId="10943" xr:uid="{00000000-0005-0000-0000-0000BF2A0000}"/>
    <cellStyle name="Input 75 3 2" xfId="10944" xr:uid="{00000000-0005-0000-0000-0000C02A0000}"/>
    <cellStyle name="Input 75 3 2 2" xfId="10945" xr:uid="{00000000-0005-0000-0000-0000C12A0000}"/>
    <cellStyle name="Input 75 3 2 2 2" xfId="10946" xr:uid="{00000000-0005-0000-0000-0000C22A0000}"/>
    <cellStyle name="Input 75 3 2 3" xfId="10947" xr:uid="{00000000-0005-0000-0000-0000C32A0000}"/>
    <cellStyle name="Input 75 3 3" xfId="10948" xr:uid="{00000000-0005-0000-0000-0000C42A0000}"/>
    <cellStyle name="Input 75 3 3 2" xfId="10949" xr:uid="{00000000-0005-0000-0000-0000C52A0000}"/>
    <cellStyle name="Input 75 3 4" xfId="10950" xr:uid="{00000000-0005-0000-0000-0000C62A0000}"/>
    <cellStyle name="Input 75 4" xfId="10951" xr:uid="{00000000-0005-0000-0000-0000C72A0000}"/>
    <cellStyle name="Input 75 4 2" xfId="10952" xr:uid="{00000000-0005-0000-0000-0000C82A0000}"/>
    <cellStyle name="Input 75 5" xfId="10953" xr:uid="{00000000-0005-0000-0000-0000C92A0000}"/>
    <cellStyle name="Input 76" xfId="10954" xr:uid="{00000000-0005-0000-0000-0000CA2A0000}"/>
    <cellStyle name="Input 76 2" xfId="10955" xr:uid="{00000000-0005-0000-0000-0000CB2A0000}"/>
    <cellStyle name="Input 76 2 2" xfId="10956" xr:uid="{00000000-0005-0000-0000-0000CC2A0000}"/>
    <cellStyle name="Input 76 2 2 2" xfId="10957" xr:uid="{00000000-0005-0000-0000-0000CD2A0000}"/>
    <cellStyle name="Input 76 2 3" xfId="10958" xr:uid="{00000000-0005-0000-0000-0000CE2A0000}"/>
    <cellStyle name="Input 76 3" xfId="10959" xr:uid="{00000000-0005-0000-0000-0000CF2A0000}"/>
    <cellStyle name="Input 76 3 2" xfId="10960" xr:uid="{00000000-0005-0000-0000-0000D02A0000}"/>
    <cellStyle name="Input 76 3 2 2" xfId="10961" xr:uid="{00000000-0005-0000-0000-0000D12A0000}"/>
    <cellStyle name="Input 76 3 2 2 2" xfId="10962" xr:uid="{00000000-0005-0000-0000-0000D22A0000}"/>
    <cellStyle name="Input 76 3 2 3" xfId="10963" xr:uid="{00000000-0005-0000-0000-0000D32A0000}"/>
    <cellStyle name="Input 76 3 3" xfId="10964" xr:uid="{00000000-0005-0000-0000-0000D42A0000}"/>
    <cellStyle name="Input 76 3 3 2" xfId="10965" xr:uid="{00000000-0005-0000-0000-0000D52A0000}"/>
    <cellStyle name="Input 76 3 4" xfId="10966" xr:uid="{00000000-0005-0000-0000-0000D62A0000}"/>
    <cellStyle name="Input 76 4" xfId="10967" xr:uid="{00000000-0005-0000-0000-0000D72A0000}"/>
    <cellStyle name="Input 76 4 2" xfId="10968" xr:uid="{00000000-0005-0000-0000-0000D82A0000}"/>
    <cellStyle name="Input 76 5" xfId="10969" xr:uid="{00000000-0005-0000-0000-0000D92A0000}"/>
    <cellStyle name="Input 77" xfId="10970" xr:uid="{00000000-0005-0000-0000-0000DA2A0000}"/>
    <cellStyle name="Input 77 2" xfId="10971" xr:uid="{00000000-0005-0000-0000-0000DB2A0000}"/>
    <cellStyle name="Input 77 2 2" xfId="10972" xr:uid="{00000000-0005-0000-0000-0000DC2A0000}"/>
    <cellStyle name="Input 77 2 2 2" xfId="10973" xr:uid="{00000000-0005-0000-0000-0000DD2A0000}"/>
    <cellStyle name="Input 77 2 3" xfId="10974" xr:uid="{00000000-0005-0000-0000-0000DE2A0000}"/>
    <cellStyle name="Input 77 3" xfId="10975" xr:uid="{00000000-0005-0000-0000-0000DF2A0000}"/>
    <cellStyle name="Input 77 3 2" xfId="10976" xr:uid="{00000000-0005-0000-0000-0000E02A0000}"/>
    <cellStyle name="Input 77 3 2 2" xfId="10977" xr:uid="{00000000-0005-0000-0000-0000E12A0000}"/>
    <cellStyle name="Input 77 3 2 2 2" xfId="10978" xr:uid="{00000000-0005-0000-0000-0000E22A0000}"/>
    <cellStyle name="Input 77 3 2 3" xfId="10979" xr:uid="{00000000-0005-0000-0000-0000E32A0000}"/>
    <cellStyle name="Input 77 3 3" xfId="10980" xr:uid="{00000000-0005-0000-0000-0000E42A0000}"/>
    <cellStyle name="Input 77 3 3 2" xfId="10981" xr:uid="{00000000-0005-0000-0000-0000E52A0000}"/>
    <cellStyle name="Input 77 3 4" xfId="10982" xr:uid="{00000000-0005-0000-0000-0000E62A0000}"/>
    <cellStyle name="Input 77 4" xfId="10983" xr:uid="{00000000-0005-0000-0000-0000E72A0000}"/>
    <cellStyle name="Input 77 4 2" xfId="10984" xr:uid="{00000000-0005-0000-0000-0000E82A0000}"/>
    <cellStyle name="Input 77 5" xfId="10985" xr:uid="{00000000-0005-0000-0000-0000E92A0000}"/>
    <cellStyle name="Input 78" xfId="10986" xr:uid="{00000000-0005-0000-0000-0000EA2A0000}"/>
    <cellStyle name="Input 78 2" xfId="10987" xr:uid="{00000000-0005-0000-0000-0000EB2A0000}"/>
    <cellStyle name="Input 78 2 2" xfId="10988" xr:uid="{00000000-0005-0000-0000-0000EC2A0000}"/>
    <cellStyle name="Input 78 2 2 2" xfId="10989" xr:uid="{00000000-0005-0000-0000-0000ED2A0000}"/>
    <cellStyle name="Input 78 2 3" xfId="10990" xr:uid="{00000000-0005-0000-0000-0000EE2A0000}"/>
    <cellStyle name="Input 78 3" xfId="10991" xr:uid="{00000000-0005-0000-0000-0000EF2A0000}"/>
    <cellStyle name="Input 78 3 2" xfId="10992" xr:uid="{00000000-0005-0000-0000-0000F02A0000}"/>
    <cellStyle name="Input 78 3 2 2" xfId="10993" xr:uid="{00000000-0005-0000-0000-0000F12A0000}"/>
    <cellStyle name="Input 78 3 2 2 2" xfId="10994" xr:uid="{00000000-0005-0000-0000-0000F22A0000}"/>
    <cellStyle name="Input 78 3 2 3" xfId="10995" xr:uid="{00000000-0005-0000-0000-0000F32A0000}"/>
    <cellStyle name="Input 78 3 3" xfId="10996" xr:uid="{00000000-0005-0000-0000-0000F42A0000}"/>
    <cellStyle name="Input 78 3 3 2" xfId="10997" xr:uid="{00000000-0005-0000-0000-0000F52A0000}"/>
    <cellStyle name="Input 78 3 4" xfId="10998" xr:uid="{00000000-0005-0000-0000-0000F62A0000}"/>
    <cellStyle name="Input 78 4" xfId="10999" xr:uid="{00000000-0005-0000-0000-0000F72A0000}"/>
    <cellStyle name="Input 78 4 2" xfId="11000" xr:uid="{00000000-0005-0000-0000-0000F82A0000}"/>
    <cellStyle name="Input 78 5" xfId="11001" xr:uid="{00000000-0005-0000-0000-0000F92A0000}"/>
    <cellStyle name="Input 79" xfId="11002" xr:uid="{00000000-0005-0000-0000-0000FA2A0000}"/>
    <cellStyle name="Input 79 2" xfId="11003" xr:uid="{00000000-0005-0000-0000-0000FB2A0000}"/>
    <cellStyle name="Input 79 2 2" xfId="11004" xr:uid="{00000000-0005-0000-0000-0000FC2A0000}"/>
    <cellStyle name="Input 79 2 2 2" xfId="11005" xr:uid="{00000000-0005-0000-0000-0000FD2A0000}"/>
    <cellStyle name="Input 79 2 3" xfId="11006" xr:uid="{00000000-0005-0000-0000-0000FE2A0000}"/>
    <cellStyle name="Input 79 3" xfId="11007" xr:uid="{00000000-0005-0000-0000-0000FF2A0000}"/>
    <cellStyle name="Input 79 3 2" xfId="11008" xr:uid="{00000000-0005-0000-0000-0000002B0000}"/>
    <cellStyle name="Input 79 3 2 2" xfId="11009" xr:uid="{00000000-0005-0000-0000-0000012B0000}"/>
    <cellStyle name="Input 79 3 2 2 2" xfId="11010" xr:uid="{00000000-0005-0000-0000-0000022B0000}"/>
    <cellStyle name="Input 79 3 2 3" xfId="11011" xr:uid="{00000000-0005-0000-0000-0000032B0000}"/>
    <cellStyle name="Input 79 3 3" xfId="11012" xr:uid="{00000000-0005-0000-0000-0000042B0000}"/>
    <cellStyle name="Input 79 3 3 2" xfId="11013" xr:uid="{00000000-0005-0000-0000-0000052B0000}"/>
    <cellStyle name="Input 79 3 4" xfId="11014" xr:uid="{00000000-0005-0000-0000-0000062B0000}"/>
    <cellStyle name="Input 79 4" xfId="11015" xr:uid="{00000000-0005-0000-0000-0000072B0000}"/>
    <cellStyle name="Input 79 4 2" xfId="11016" xr:uid="{00000000-0005-0000-0000-0000082B0000}"/>
    <cellStyle name="Input 79 5" xfId="11017" xr:uid="{00000000-0005-0000-0000-0000092B0000}"/>
    <cellStyle name="Input 8" xfId="11018" xr:uid="{00000000-0005-0000-0000-00000A2B0000}"/>
    <cellStyle name="Input 8 2" xfId="11019" xr:uid="{00000000-0005-0000-0000-00000B2B0000}"/>
    <cellStyle name="Input 8 2 2" xfId="11020" xr:uid="{00000000-0005-0000-0000-00000C2B0000}"/>
    <cellStyle name="Input 8 2 2 2" xfId="11021" xr:uid="{00000000-0005-0000-0000-00000D2B0000}"/>
    <cellStyle name="Input 8 2 3" xfId="11022" xr:uid="{00000000-0005-0000-0000-00000E2B0000}"/>
    <cellStyle name="Input 8 3" xfId="11023" xr:uid="{00000000-0005-0000-0000-00000F2B0000}"/>
    <cellStyle name="Input 8 3 2" xfId="11024" xr:uid="{00000000-0005-0000-0000-0000102B0000}"/>
    <cellStyle name="Input 8 4" xfId="11025" xr:uid="{00000000-0005-0000-0000-0000112B0000}"/>
    <cellStyle name="Input 80" xfId="11026" xr:uid="{00000000-0005-0000-0000-0000122B0000}"/>
    <cellStyle name="Input 80 2" xfId="11027" xr:uid="{00000000-0005-0000-0000-0000132B0000}"/>
    <cellStyle name="Input 80 2 2" xfId="11028" xr:uid="{00000000-0005-0000-0000-0000142B0000}"/>
    <cellStyle name="Input 80 2 2 2" xfId="11029" xr:uid="{00000000-0005-0000-0000-0000152B0000}"/>
    <cellStyle name="Input 80 2 3" xfId="11030" xr:uid="{00000000-0005-0000-0000-0000162B0000}"/>
    <cellStyle name="Input 80 3" xfId="11031" xr:uid="{00000000-0005-0000-0000-0000172B0000}"/>
    <cellStyle name="Input 80 3 2" xfId="11032" xr:uid="{00000000-0005-0000-0000-0000182B0000}"/>
    <cellStyle name="Input 80 3 2 2" xfId="11033" xr:uid="{00000000-0005-0000-0000-0000192B0000}"/>
    <cellStyle name="Input 80 3 2 2 2" xfId="11034" xr:uid="{00000000-0005-0000-0000-00001A2B0000}"/>
    <cellStyle name="Input 80 3 2 3" xfId="11035" xr:uid="{00000000-0005-0000-0000-00001B2B0000}"/>
    <cellStyle name="Input 80 3 3" xfId="11036" xr:uid="{00000000-0005-0000-0000-00001C2B0000}"/>
    <cellStyle name="Input 80 3 3 2" xfId="11037" xr:uid="{00000000-0005-0000-0000-00001D2B0000}"/>
    <cellStyle name="Input 80 3 4" xfId="11038" xr:uid="{00000000-0005-0000-0000-00001E2B0000}"/>
    <cellStyle name="Input 80 4" xfId="11039" xr:uid="{00000000-0005-0000-0000-00001F2B0000}"/>
    <cellStyle name="Input 80 4 2" xfId="11040" xr:uid="{00000000-0005-0000-0000-0000202B0000}"/>
    <cellStyle name="Input 80 5" xfId="11041" xr:uid="{00000000-0005-0000-0000-0000212B0000}"/>
    <cellStyle name="Input 81" xfId="11042" xr:uid="{00000000-0005-0000-0000-0000222B0000}"/>
    <cellStyle name="Input 81 2" xfId="11043" xr:uid="{00000000-0005-0000-0000-0000232B0000}"/>
    <cellStyle name="Input 81 2 2" xfId="11044" xr:uid="{00000000-0005-0000-0000-0000242B0000}"/>
    <cellStyle name="Input 81 2 2 2" xfId="11045" xr:uid="{00000000-0005-0000-0000-0000252B0000}"/>
    <cellStyle name="Input 81 2 3" xfId="11046" xr:uid="{00000000-0005-0000-0000-0000262B0000}"/>
    <cellStyle name="Input 81 3" xfId="11047" xr:uid="{00000000-0005-0000-0000-0000272B0000}"/>
    <cellStyle name="Input 81 3 2" xfId="11048" xr:uid="{00000000-0005-0000-0000-0000282B0000}"/>
    <cellStyle name="Input 81 3 2 2" xfId="11049" xr:uid="{00000000-0005-0000-0000-0000292B0000}"/>
    <cellStyle name="Input 81 3 2 2 2" xfId="11050" xr:uid="{00000000-0005-0000-0000-00002A2B0000}"/>
    <cellStyle name="Input 81 3 2 3" xfId="11051" xr:uid="{00000000-0005-0000-0000-00002B2B0000}"/>
    <cellStyle name="Input 81 3 3" xfId="11052" xr:uid="{00000000-0005-0000-0000-00002C2B0000}"/>
    <cellStyle name="Input 81 3 3 2" xfId="11053" xr:uid="{00000000-0005-0000-0000-00002D2B0000}"/>
    <cellStyle name="Input 81 3 4" xfId="11054" xr:uid="{00000000-0005-0000-0000-00002E2B0000}"/>
    <cellStyle name="Input 81 4" xfId="11055" xr:uid="{00000000-0005-0000-0000-00002F2B0000}"/>
    <cellStyle name="Input 81 4 2" xfId="11056" xr:uid="{00000000-0005-0000-0000-0000302B0000}"/>
    <cellStyle name="Input 81 5" xfId="11057" xr:uid="{00000000-0005-0000-0000-0000312B0000}"/>
    <cellStyle name="Input 82" xfId="11058" xr:uid="{00000000-0005-0000-0000-0000322B0000}"/>
    <cellStyle name="Input 82 2" xfId="11059" xr:uid="{00000000-0005-0000-0000-0000332B0000}"/>
    <cellStyle name="Input 82 2 2" xfId="11060" xr:uid="{00000000-0005-0000-0000-0000342B0000}"/>
    <cellStyle name="Input 82 2 2 2" xfId="11061" xr:uid="{00000000-0005-0000-0000-0000352B0000}"/>
    <cellStyle name="Input 82 2 3" xfId="11062" xr:uid="{00000000-0005-0000-0000-0000362B0000}"/>
    <cellStyle name="Input 82 3" xfId="11063" xr:uid="{00000000-0005-0000-0000-0000372B0000}"/>
    <cellStyle name="Input 82 3 2" xfId="11064" xr:uid="{00000000-0005-0000-0000-0000382B0000}"/>
    <cellStyle name="Input 82 3 2 2" xfId="11065" xr:uid="{00000000-0005-0000-0000-0000392B0000}"/>
    <cellStyle name="Input 82 3 2 2 2" xfId="11066" xr:uid="{00000000-0005-0000-0000-00003A2B0000}"/>
    <cellStyle name="Input 82 3 2 3" xfId="11067" xr:uid="{00000000-0005-0000-0000-00003B2B0000}"/>
    <cellStyle name="Input 82 3 3" xfId="11068" xr:uid="{00000000-0005-0000-0000-00003C2B0000}"/>
    <cellStyle name="Input 82 3 3 2" xfId="11069" xr:uid="{00000000-0005-0000-0000-00003D2B0000}"/>
    <cellStyle name="Input 82 3 4" xfId="11070" xr:uid="{00000000-0005-0000-0000-00003E2B0000}"/>
    <cellStyle name="Input 82 4" xfId="11071" xr:uid="{00000000-0005-0000-0000-00003F2B0000}"/>
    <cellStyle name="Input 82 4 2" xfId="11072" xr:uid="{00000000-0005-0000-0000-0000402B0000}"/>
    <cellStyle name="Input 82 5" xfId="11073" xr:uid="{00000000-0005-0000-0000-0000412B0000}"/>
    <cellStyle name="Input 83" xfId="11074" xr:uid="{00000000-0005-0000-0000-0000422B0000}"/>
    <cellStyle name="Input 83 2" xfId="11075" xr:uid="{00000000-0005-0000-0000-0000432B0000}"/>
    <cellStyle name="Input 83 2 2" xfId="11076" xr:uid="{00000000-0005-0000-0000-0000442B0000}"/>
    <cellStyle name="Input 83 2 2 2" xfId="11077" xr:uid="{00000000-0005-0000-0000-0000452B0000}"/>
    <cellStyle name="Input 83 2 3" xfId="11078" xr:uid="{00000000-0005-0000-0000-0000462B0000}"/>
    <cellStyle name="Input 83 3" xfId="11079" xr:uid="{00000000-0005-0000-0000-0000472B0000}"/>
    <cellStyle name="Input 83 3 2" xfId="11080" xr:uid="{00000000-0005-0000-0000-0000482B0000}"/>
    <cellStyle name="Input 83 3 2 2" xfId="11081" xr:uid="{00000000-0005-0000-0000-0000492B0000}"/>
    <cellStyle name="Input 83 3 2 2 2" xfId="11082" xr:uid="{00000000-0005-0000-0000-00004A2B0000}"/>
    <cellStyle name="Input 83 3 2 3" xfId="11083" xr:uid="{00000000-0005-0000-0000-00004B2B0000}"/>
    <cellStyle name="Input 83 3 3" xfId="11084" xr:uid="{00000000-0005-0000-0000-00004C2B0000}"/>
    <cellStyle name="Input 83 3 3 2" xfId="11085" xr:uid="{00000000-0005-0000-0000-00004D2B0000}"/>
    <cellStyle name="Input 83 3 4" xfId="11086" xr:uid="{00000000-0005-0000-0000-00004E2B0000}"/>
    <cellStyle name="Input 83 4" xfId="11087" xr:uid="{00000000-0005-0000-0000-00004F2B0000}"/>
    <cellStyle name="Input 83 4 2" xfId="11088" xr:uid="{00000000-0005-0000-0000-0000502B0000}"/>
    <cellStyle name="Input 83 5" xfId="11089" xr:uid="{00000000-0005-0000-0000-0000512B0000}"/>
    <cellStyle name="Input 84" xfId="11090" xr:uid="{00000000-0005-0000-0000-0000522B0000}"/>
    <cellStyle name="Input 84 2" xfId="11091" xr:uid="{00000000-0005-0000-0000-0000532B0000}"/>
    <cellStyle name="Input 84 2 2" xfId="11092" xr:uid="{00000000-0005-0000-0000-0000542B0000}"/>
    <cellStyle name="Input 84 2 2 2" xfId="11093" xr:uid="{00000000-0005-0000-0000-0000552B0000}"/>
    <cellStyle name="Input 84 2 3" xfId="11094" xr:uid="{00000000-0005-0000-0000-0000562B0000}"/>
    <cellStyle name="Input 84 3" xfId="11095" xr:uid="{00000000-0005-0000-0000-0000572B0000}"/>
    <cellStyle name="Input 84 3 2" xfId="11096" xr:uid="{00000000-0005-0000-0000-0000582B0000}"/>
    <cellStyle name="Input 84 4" xfId="11097" xr:uid="{00000000-0005-0000-0000-0000592B0000}"/>
    <cellStyle name="Input 85" xfId="11098" xr:uid="{00000000-0005-0000-0000-00005A2B0000}"/>
    <cellStyle name="Input 85 2" xfId="11099" xr:uid="{00000000-0005-0000-0000-00005B2B0000}"/>
    <cellStyle name="Input 85 2 2" xfId="11100" xr:uid="{00000000-0005-0000-0000-00005C2B0000}"/>
    <cellStyle name="Input 85 2 2 2" xfId="11101" xr:uid="{00000000-0005-0000-0000-00005D2B0000}"/>
    <cellStyle name="Input 85 2 3" xfId="11102" xr:uid="{00000000-0005-0000-0000-00005E2B0000}"/>
    <cellStyle name="Input 85 3" xfId="11103" xr:uid="{00000000-0005-0000-0000-00005F2B0000}"/>
    <cellStyle name="Input 85 3 2" xfId="11104" xr:uid="{00000000-0005-0000-0000-0000602B0000}"/>
    <cellStyle name="Input 85 4" xfId="11105" xr:uid="{00000000-0005-0000-0000-0000612B0000}"/>
    <cellStyle name="Input 86" xfId="11106" xr:uid="{00000000-0005-0000-0000-0000622B0000}"/>
    <cellStyle name="Input 86 2" xfId="11107" xr:uid="{00000000-0005-0000-0000-0000632B0000}"/>
    <cellStyle name="Input 86 2 2" xfId="11108" xr:uid="{00000000-0005-0000-0000-0000642B0000}"/>
    <cellStyle name="Input 86 2 2 2" xfId="11109" xr:uid="{00000000-0005-0000-0000-0000652B0000}"/>
    <cellStyle name="Input 86 2 3" xfId="11110" xr:uid="{00000000-0005-0000-0000-0000662B0000}"/>
    <cellStyle name="Input 86 3" xfId="11111" xr:uid="{00000000-0005-0000-0000-0000672B0000}"/>
    <cellStyle name="Input 86 3 2" xfId="11112" xr:uid="{00000000-0005-0000-0000-0000682B0000}"/>
    <cellStyle name="Input 86 4" xfId="11113" xr:uid="{00000000-0005-0000-0000-0000692B0000}"/>
    <cellStyle name="Input 87" xfId="11114" xr:uid="{00000000-0005-0000-0000-00006A2B0000}"/>
    <cellStyle name="Input 87 2" xfId="11115" xr:uid="{00000000-0005-0000-0000-00006B2B0000}"/>
    <cellStyle name="Input 87 2 2" xfId="11116" xr:uid="{00000000-0005-0000-0000-00006C2B0000}"/>
    <cellStyle name="Input 87 2 2 2" xfId="11117" xr:uid="{00000000-0005-0000-0000-00006D2B0000}"/>
    <cellStyle name="Input 87 2 3" xfId="11118" xr:uid="{00000000-0005-0000-0000-00006E2B0000}"/>
    <cellStyle name="Input 87 3" xfId="11119" xr:uid="{00000000-0005-0000-0000-00006F2B0000}"/>
    <cellStyle name="Input 87 3 2" xfId="11120" xr:uid="{00000000-0005-0000-0000-0000702B0000}"/>
    <cellStyle name="Input 87 4" xfId="11121" xr:uid="{00000000-0005-0000-0000-0000712B0000}"/>
    <cellStyle name="Input 88" xfId="11122" xr:uid="{00000000-0005-0000-0000-0000722B0000}"/>
    <cellStyle name="Input 88 2" xfId="11123" xr:uid="{00000000-0005-0000-0000-0000732B0000}"/>
    <cellStyle name="Input 88 2 2" xfId="11124" xr:uid="{00000000-0005-0000-0000-0000742B0000}"/>
    <cellStyle name="Input 88 2 2 2" xfId="11125" xr:uid="{00000000-0005-0000-0000-0000752B0000}"/>
    <cellStyle name="Input 88 2 3" xfId="11126" xr:uid="{00000000-0005-0000-0000-0000762B0000}"/>
    <cellStyle name="Input 88 3" xfId="11127" xr:uid="{00000000-0005-0000-0000-0000772B0000}"/>
    <cellStyle name="Input 88 3 2" xfId="11128" xr:uid="{00000000-0005-0000-0000-0000782B0000}"/>
    <cellStyle name="Input 88 4" xfId="11129" xr:uid="{00000000-0005-0000-0000-0000792B0000}"/>
    <cellStyle name="Input 89" xfId="11130" xr:uid="{00000000-0005-0000-0000-00007A2B0000}"/>
    <cellStyle name="Input 89 2" xfId="11131" xr:uid="{00000000-0005-0000-0000-00007B2B0000}"/>
    <cellStyle name="Input 89 2 2" xfId="11132" xr:uid="{00000000-0005-0000-0000-00007C2B0000}"/>
    <cellStyle name="Input 89 2 2 2" xfId="11133" xr:uid="{00000000-0005-0000-0000-00007D2B0000}"/>
    <cellStyle name="Input 89 2 3" xfId="11134" xr:uid="{00000000-0005-0000-0000-00007E2B0000}"/>
    <cellStyle name="Input 89 3" xfId="11135" xr:uid="{00000000-0005-0000-0000-00007F2B0000}"/>
    <cellStyle name="Input 89 3 2" xfId="11136" xr:uid="{00000000-0005-0000-0000-0000802B0000}"/>
    <cellStyle name="Input 89 4" xfId="11137" xr:uid="{00000000-0005-0000-0000-0000812B0000}"/>
    <cellStyle name="Input 9" xfId="11138" xr:uid="{00000000-0005-0000-0000-0000822B0000}"/>
    <cellStyle name="Input 9 2" xfId="11139" xr:uid="{00000000-0005-0000-0000-0000832B0000}"/>
    <cellStyle name="Input 9 2 2" xfId="11140" xr:uid="{00000000-0005-0000-0000-0000842B0000}"/>
    <cellStyle name="Input 9 2 2 2" xfId="11141" xr:uid="{00000000-0005-0000-0000-0000852B0000}"/>
    <cellStyle name="Input 9 2 3" xfId="11142" xr:uid="{00000000-0005-0000-0000-0000862B0000}"/>
    <cellStyle name="Input 9 3" xfId="11143" xr:uid="{00000000-0005-0000-0000-0000872B0000}"/>
    <cellStyle name="Input 9 3 2" xfId="11144" xr:uid="{00000000-0005-0000-0000-0000882B0000}"/>
    <cellStyle name="Input 9 4" xfId="11145" xr:uid="{00000000-0005-0000-0000-0000892B0000}"/>
    <cellStyle name="Input 90" xfId="11146" xr:uid="{00000000-0005-0000-0000-00008A2B0000}"/>
    <cellStyle name="Input 90 2" xfId="11147" xr:uid="{00000000-0005-0000-0000-00008B2B0000}"/>
    <cellStyle name="Input 90 2 2" xfId="11148" xr:uid="{00000000-0005-0000-0000-00008C2B0000}"/>
    <cellStyle name="Input 90 2 2 2" xfId="11149" xr:uid="{00000000-0005-0000-0000-00008D2B0000}"/>
    <cellStyle name="Input 90 2 3" xfId="11150" xr:uid="{00000000-0005-0000-0000-00008E2B0000}"/>
    <cellStyle name="Input 90 3" xfId="11151" xr:uid="{00000000-0005-0000-0000-00008F2B0000}"/>
    <cellStyle name="Input 90 3 2" xfId="11152" xr:uid="{00000000-0005-0000-0000-0000902B0000}"/>
    <cellStyle name="Input 90 4" xfId="11153" xr:uid="{00000000-0005-0000-0000-0000912B0000}"/>
    <cellStyle name="Input 91" xfId="11154" xr:uid="{00000000-0005-0000-0000-0000922B0000}"/>
    <cellStyle name="Input 91 2" xfId="11155" xr:uid="{00000000-0005-0000-0000-0000932B0000}"/>
    <cellStyle name="Input 91 2 2" xfId="11156" xr:uid="{00000000-0005-0000-0000-0000942B0000}"/>
    <cellStyle name="Input 91 2 2 2" xfId="11157" xr:uid="{00000000-0005-0000-0000-0000952B0000}"/>
    <cellStyle name="Input 91 2 3" xfId="11158" xr:uid="{00000000-0005-0000-0000-0000962B0000}"/>
    <cellStyle name="Input 91 3" xfId="11159" xr:uid="{00000000-0005-0000-0000-0000972B0000}"/>
    <cellStyle name="Input 91 3 2" xfId="11160" xr:uid="{00000000-0005-0000-0000-0000982B0000}"/>
    <cellStyle name="Input 91 4" xfId="11161" xr:uid="{00000000-0005-0000-0000-0000992B0000}"/>
    <cellStyle name="Input 92" xfId="11162" xr:uid="{00000000-0005-0000-0000-00009A2B0000}"/>
    <cellStyle name="Input 92 2" xfId="11163" xr:uid="{00000000-0005-0000-0000-00009B2B0000}"/>
    <cellStyle name="Input 92 2 2" xfId="11164" xr:uid="{00000000-0005-0000-0000-00009C2B0000}"/>
    <cellStyle name="Input 92 2 2 2" xfId="11165" xr:uid="{00000000-0005-0000-0000-00009D2B0000}"/>
    <cellStyle name="Input 92 2 3" xfId="11166" xr:uid="{00000000-0005-0000-0000-00009E2B0000}"/>
    <cellStyle name="Input 92 3" xfId="11167" xr:uid="{00000000-0005-0000-0000-00009F2B0000}"/>
    <cellStyle name="Input 92 3 2" xfId="11168" xr:uid="{00000000-0005-0000-0000-0000A02B0000}"/>
    <cellStyle name="Input 92 4" xfId="11169" xr:uid="{00000000-0005-0000-0000-0000A12B0000}"/>
    <cellStyle name="Input 93" xfId="11170" xr:uid="{00000000-0005-0000-0000-0000A22B0000}"/>
    <cellStyle name="Input 93 2" xfId="11171" xr:uid="{00000000-0005-0000-0000-0000A32B0000}"/>
    <cellStyle name="Input 93 2 2" xfId="11172" xr:uid="{00000000-0005-0000-0000-0000A42B0000}"/>
    <cellStyle name="Input 93 2 2 2" xfId="11173" xr:uid="{00000000-0005-0000-0000-0000A52B0000}"/>
    <cellStyle name="Input 93 2 3" xfId="11174" xr:uid="{00000000-0005-0000-0000-0000A62B0000}"/>
    <cellStyle name="Input 93 3" xfId="11175" xr:uid="{00000000-0005-0000-0000-0000A72B0000}"/>
    <cellStyle name="Input 93 3 2" xfId="11176" xr:uid="{00000000-0005-0000-0000-0000A82B0000}"/>
    <cellStyle name="Input 93 4" xfId="11177" xr:uid="{00000000-0005-0000-0000-0000A92B0000}"/>
    <cellStyle name="Input 94" xfId="11178" xr:uid="{00000000-0005-0000-0000-0000AA2B0000}"/>
    <cellStyle name="Input 94 2" xfId="11179" xr:uid="{00000000-0005-0000-0000-0000AB2B0000}"/>
    <cellStyle name="Input 94 2 2" xfId="11180" xr:uid="{00000000-0005-0000-0000-0000AC2B0000}"/>
    <cellStyle name="Input 94 2 2 2" xfId="11181" xr:uid="{00000000-0005-0000-0000-0000AD2B0000}"/>
    <cellStyle name="Input 94 2 3" xfId="11182" xr:uid="{00000000-0005-0000-0000-0000AE2B0000}"/>
    <cellStyle name="Input 94 3" xfId="11183" xr:uid="{00000000-0005-0000-0000-0000AF2B0000}"/>
    <cellStyle name="Input 94 3 2" xfId="11184" xr:uid="{00000000-0005-0000-0000-0000B02B0000}"/>
    <cellStyle name="Input 94 4" xfId="11185" xr:uid="{00000000-0005-0000-0000-0000B12B0000}"/>
    <cellStyle name="Input 95" xfId="11186" xr:uid="{00000000-0005-0000-0000-0000B22B0000}"/>
    <cellStyle name="Input 95 2" xfId="11187" xr:uid="{00000000-0005-0000-0000-0000B32B0000}"/>
    <cellStyle name="Input 95 2 2" xfId="11188" xr:uid="{00000000-0005-0000-0000-0000B42B0000}"/>
    <cellStyle name="Input 95 2 2 2" xfId="11189" xr:uid="{00000000-0005-0000-0000-0000B52B0000}"/>
    <cellStyle name="Input 95 2 3" xfId="11190" xr:uid="{00000000-0005-0000-0000-0000B62B0000}"/>
    <cellStyle name="Input 95 3" xfId="11191" xr:uid="{00000000-0005-0000-0000-0000B72B0000}"/>
    <cellStyle name="Input 95 3 2" xfId="11192" xr:uid="{00000000-0005-0000-0000-0000B82B0000}"/>
    <cellStyle name="Input 95 4" xfId="11193" xr:uid="{00000000-0005-0000-0000-0000B92B0000}"/>
    <cellStyle name="Input 96" xfId="11194" xr:uid="{00000000-0005-0000-0000-0000BA2B0000}"/>
    <cellStyle name="Input 96 2" xfId="11195" xr:uid="{00000000-0005-0000-0000-0000BB2B0000}"/>
    <cellStyle name="Input 96 2 2" xfId="11196" xr:uid="{00000000-0005-0000-0000-0000BC2B0000}"/>
    <cellStyle name="Input 96 2 2 2" xfId="11197" xr:uid="{00000000-0005-0000-0000-0000BD2B0000}"/>
    <cellStyle name="Input 96 2 3" xfId="11198" xr:uid="{00000000-0005-0000-0000-0000BE2B0000}"/>
    <cellStyle name="Input 96 3" xfId="11199" xr:uid="{00000000-0005-0000-0000-0000BF2B0000}"/>
    <cellStyle name="Input 96 3 2" xfId="11200" xr:uid="{00000000-0005-0000-0000-0000C02B0000}"/>
    <cellStyle name="Input 96 4" xfId="11201" xr:uid="{00000000-0005-0000-0000-0000C12B0000}"/>
    <cellStyle name="Input 97" xfId="11202" xr:uid="{00000000-0005-0000-0000-0000C22B0000}"/>
    <cellStyle name="Input 97 2" xfId="11203" xr:uid="{00000000-0005-0000-0000-0000C32B0000}"/>
    <cellStyle name="Input 97 2 2" xfId="11204" xr:uid="{00000000-0005-0000-0000-0000C42B0000}"/>
    <cellStyle name="Input 97 2 2 2" xfId="11205" xr:uid="{00000000-0005-0000-0000-0000C52B0000}"/>
    <cellStyle name="Input 97 2 3" xfId="11206" xr:uid="{00000000-0005-0000-0000-0000C62B0000}"/>
    <cellStyle name="Input 97 3" xfId="11207" xr:uid="{00000000-0005-0000-0000-0000C72B0000}"/>
    <cellStyle name="Input 97 3 2" xfId="11208" xr:uid="{00000000-0005-0000-0000-0000C82B0000}"/>
    <cellStyle name="Input 97 4" xfId="11209" xr:uid="{00000000-0005-0000-0000-0000C92B0000}"/>
    <cellStyle name="Input 98" xfId="11210" xr:uid="{00000000-0005-0000-0000-0000CA2B0000}"/>
    <cellStyle name="Input 98 2" xfId="11211" xr:uid="{00000000-0005-0000-0000-0000CB2B0000}"/>
    <cellStyle name="Input 98 2 2" xfId="11212" xr:uid="{00000000-0005-0000-0000-0000CC2B0000}"/>
    <cellStyle name="Input 98 2 2 2" xfId="11213" xr:uid="{00000000-0005-0000-0000-0000CD2B0000}"/>
    <cellStyle name="Input 98 2 3" xfId="11214" xr:uid="{00000000-0005-0000-0000-0000CE2B0000}"/>
    <cellStyle name="Input 98 3" xfId="11215" xr:uid="{00000000-0005-0000-0000-0000CF2B0000}"/>
    <cellStyle name="Input 98 3 2" xfId="11216" xr:uid="{00000000-0005-0000-0000-0000D02B0000}"/>
    <cellStyle name="Input 98 4" xfId="11217" xr:uid="{00000000-0005-0000-0000-0000D12B0000}"/>
    <cellStyle name="Input 99" xfId="11218" xr:uid="{00000000-0005-0000-0000-0000D22B0000}"/>
    <cellStyle name="Input 99 2" xfId="11219" xr:uid="{00000000-0005-0000-0000-0000D32B0000}"/>
    <cellStyle name="Input 99 2 2" xfId="11220" xr:uid="{00000000-0005-0000-0000-0000D42B0000}"/>
    <cellStyle name="Input 99 2 2 2" xfId="11221" xr:uid="{00000000-0005-0000-0000-0000D52B0000}"/>
    <cellStyle name="Input 99 2 3" xfId="11222" xr:uid="{00000000-0005-0000-0000-0000D62B0000}"/>
    <cellStyle name="Input 99 3" xfId="11223" xr:uid="{00000000-0005-0000-0000-0000D72B0000}"/>
    <cellStyle name="Input 99 3 2" xfId="11224" xr:uid="{00000000-0005-0000-0000-0000D82B0000}"/>
    <cellStyle name="Input 99 4" xfId="11225" xr:uid="{00000000-0005-0000-0000-0000D92B0000}"/>
    <cellStyle name="IntegerNoZero" xfId="11226" xr:uid="{00000000-0005-0000-0000-0000DA2B0000}"/>
    <cellStyle name="Linked" xfId="11227" xr:uid="{00000000-0005-0000-0000-0000DB2B0000}"/>
    <cellStyle name="Linked 2" xfId="11228" xr:uid="{00000000-0005-0000-0000-0000DC2B0000}"/>
    <cellStyle name="Linked Cell 2" xfId="11229" xr:uid="{00000000-0005-0000-0000-0000DD2B0000}"/>
    <cellStyle name="Linked Cell 2 10" xfId="11230" xr:uid="{00000000-0005-0000-0000-0000DE2B0000}"/>
    <cellStyle name="Linked Cell 2 10 2" xfId="11231" xr:uid="{00000000-0005-0000-0000-0000DF2B0000}"/>
    <cellStyle name="Linked Cell 2 11" xfId="11232" xr:uid="{00000000-0005-0000-0000-0000E02B0000}"/>
    <cellStyle name="Linked Cell 2 12" xfId="11233" xr:uid="{00000000-0005-0000-0000-0000E12B0000}"/>
    <cellStyle name="Linked Cell 2 2" xfId="11234" xr:uid="{00000000-0005-0000-0000-0000E22B0000}"/>
    <cellStyle name="Linked Cell 2 2 2" xfId="11235" xr:uid="{00000000-0005-0000-0000-0000E32B0000}"/>
    <cellStyle name="Linked Cell 2 2 2 2" xfId="11236" xr:uid="{00000000-0005-0000-0000-0000E42B0000}"/>
    <cellStyle name="Linked Cell 2 2 3" xfId="11237" xr:uid="{00000000-0005-0000-0000-0000E52B0000}"/>
    <cellStyle name="Linked Cell 2 2 3 2" xfId="11238" xr:uid="{00000000-0005-0000-0000-0000E62B0000}"/>
    <cellStyle name="Linked Cell 2 2 3 2 2" xfId="11239" xr:uid="{00000000-0005-0000-0000-0000E72B0000}"/>
    <cellStyle name="Linked Cell 2 2 3 3" xfId="11240" xr:uid="{00000000-0005-0000-0000-0000E82B0000}"/>
    <cellStyle name="Linked Cell 2 2 4" xfId="11241" xr:uid="{00000000-0005-0000-0000-0000E92B0000}"/>
    <cellStyle name="Linked Cell 2 3" xfId="11242" xr:uid="{00000000-0005-0000-0000-0000EA2B0000}"/>
    <cellStyle name="Linked Cell 2 3 2" xfId="11243" xr:uid="{00000000-0005-0000-0000-0000EB2B0000}"/>
    <cellStyle name="Linked Cell 2 3 2 2" xfId="11244" xr:uid="{00000000-0005-0000-0000-0000EC2B0000}"/>
    <cellStyle name="Linked Cell 2 3 3" xfId="11245" xr:uid="{00000000-0005-0000-0000-0000ED2B0000}"/>
    <cellStyle name="Linked Cell 2 3 3 2" xfId="11246" xr:uid="{00000000-0005-0000-0000-0000EE2B0000}"/>
    <cellStyle name="Linked Cell 2 3 3 2 2" xfId="11247" xr:uid="{00000000-0005-0000-0000-0000EF2B0000}"/>
    <cellStyle name="Linked Cell 2 3 3 3" xfId="11248" xr:uid="{00000000-0005-0000-0000-0000F02B0000}"/>
    <cellStyle name="Linked Cell 2 3 4" xfId="11249" xr:uid="{00000000-0005-0000-0000-0000F12B0000}"/>
    <cellStyle name="Linked Cell 2 4" xfId="11250" xr:uid="{00000000-0005-0000-0000-0000F22B0000}"/>
    <cellStyle name="Linked Cell 2 4 2" xfId="11251" xr:uid="{00000000-0005-0000-0000-0000F32B0000}"/>
    <cellStyle name="Linked Cell 2 4 2 2" xfId="11252" xr:uid="{00000000-0005-0000-0000-0000F42B0000}"/>
    <cellStyle name="Linked Cell 2 4 3" xfId="11253" xr:uid="{00000000-0005-0000-0000-0000F52B0000}"/>
    <cellStyle name="Linked Cell 2 5" xfId="11254" xr:uid="{00000000-0005-0000-0000-0000F62B0000}"/>
    <cellStyle name="Linked Cell 2 5 2" xfId="11255" xr:uid="{00000000-0005-0000-0000-0000F72B0000}"/>
    <cellStyle name="Linked Cell 2 5 2 2" xfId="11256" xr:uid="{00000000-0005-0000-0000-0000F82B0000}"/>
    <cellStyle name="Linked Cell 2 5 3" xfId="11257" xr:uid="{00000000-0005-0000-0000-0000F92B0000}"/>
    <cellStyle name="Linked Cell 2 5 3 2" xfId="11258" xr:uid="{00000000-0005-0000-0000-0000FA2B0000}"/>
    <cellStyle name="Linked Cell 2 5 3 2 2" xfId="11259" xr:uid="{00000000-0005-0000-0000-0000FB2B0000}"/>
    <cellStyle name="Linked Cell 2 5 3 3" xfId="11260" xr:uid="{00000000-0005-0000-0000-0000FC2B0000}"/>
    <cellStyle name="Linked Cell 2 5 4" xfId="11261" xr:uid="{00000000-0005-0000-0000-0000FD2B0000}"/>
    <cellStyle name="Linked Cell 2 6" xfId="11262" xr:uid="{00000000-0005-0000-0000-0000FE2B0000}"/>
    <cellStyle name="Linked Cell 2 6 2" xfId="11263" xr:uid="{00000000-0005-0000-0000-0000FF2B0000}"/>
    <cellStyle name="Linked Cell 2 6 2 2" xfId="11264" xr:uid="{00000000-0005-0000-0000-0000002C0000}"/>
    <cellStyle name="Linked Cell 2 6 3" xfId="11265" xr:uid="{00000000-0005-0000-0000-0000012C0000}"/>
    <cellStyle name="Linked Cell 2 6 3 2" xfId="11266" xr:uid="{00000000-0005-0000-0000-0000022C0000}"/>
    <cellStyle name="Linked Cell 2 6 4" xfId="11267" xr:uid="{00000000-0005-0000-0000-0000032C0000}"/>
    <cellStyle name="Linked Cell 2 7" xfId="11268" xr:uid="{00000000-0005-0000-0000-0000042C0000}"/>
    <cellStyle name="Linked Cell 2 7 2" xfId="11269" xr:uid="{00000000-0005-0000-0000-0000052C0000}"/>
    <cellStyle name="Linked Cell 2 8" xfId="11270" xr:uid="{00000000-0005-0000-0000-0000062C0000}"/>
    <cellStyle name="Linked Cell 2 8 2" xfId="11271" xr:uid="{00000000-0005-0000-0000-0000072C0000}"/>
    <cellStyle name="Linked Cell 2 8 2 2" xfId="11272" xr:uid="{00000000-0005-0000-0000-0000082C0000}"/>
    <cellStyle name="Linked Cell 2 8 3" xfId="11273" xr:uid="{00000000-0005-0000-0000-0000092C0000}"/>
    <cellStyle name="Linked Cell 2 9" xfId="11274" xr:uid="{00000000-0005-0000-0000-00000A2C0000}"/>
    <cellStyle name="Linked Cell 2 9 2" xfId="11275" xr:uid="{00000000-0005-0000-0000-00000B2C0000}"/>
    <cellStyle name="Linked Cell 2 9 2 2" xfId="11276" xr:uid="{00000000-0005-0000-0000-00000C2C0000}"/>
    <cellStyle name="Linked Cell 2 9 3" xfId="11277" xr:uid="{00000000-0005-0000-0000-00000D2C0000}"/>
    <cellStyle name="Linked Cell 3" xfId="11278" xr:uid="{00000000-0005-0000-0000-00000E2C0000}"/>
    <cellStyle name="Linked Cell 3 2" xfId="11279" xr:uid="{00000000-0005-0000-0000-00000F2C0000}"/>
    <cellStyle name="Linked Cell 3 2 2" xfId="11280" xr:uid="{00000000-0005-0000-0000-0000102C0000}"/>
    <cellStyle name="Linked Cell 3 3" xfId="11281" xr:uid="{00000000-0005-0000-0000-0000112C0000}"/>
    <cellStyle name="Linked Cell 3 3 2" xfId="11282" xr:uid="{00000000-0005-0000-0000-0000122C0000}"/>
    <cellStyle name="Linked Cell 3 4" xfId="11283" xr:uid="{00000000-0005-0000-0000-0000132C0000}"/>
    <cellStyle name="Linked Cell 3 4 2" xfId="11284" xr:uid="{00000000-0005-0000-0000-0000142C0000}"/>
    <cellStyle name="Linked Cell 3 4 2 2" xfId="11285" xr:uid="{00000000-0005-0000-0000-0000152C0000}"/>
    <cellStyle name="Linked Cell 3 4 3" xfId="11286" xr:uid="{00000000-0005-0000-0000-0000162C0000}"/>
    <cellStyle name="Linked Cell 3 5" xfId="11287" xr:uid="{00000000-0005-0000-0000-0000172C0000}"/>
    <cellStyle name="Linked Cell 4" xfId="11288" xr:uid="{00000000-0005-0000-0000-0000182C0000}"/>
    <cellStyle name="Linked Cell 4 2" xfId="11289" xr:uid="{00000000-0005-0000-0000-0000192C0000}"/>
    <cellStyle name="Linked Cell 4 2 2" xfId="11290" xr:uid="{00000000-0005-0000-0000-00001A2C0000}"/>
    <cellStyle name="Linked Cell 4 3" xfId="11291" xr:uid="{00000000-0005-0000-0000-00001B2C0000}"/>
    <cellStyle name="Linked Cell 4 3 2" xfId="11292" xr:uid="{00000000-0005-0000-0000-00001C2C0000}"/>
    <cellStyle name="Linked Cell 4 3 2 2" xfId="11293" xr:uid="{00000000-0005-0000-0000-00001D2C0000}"/>
    <cellStyle name="Linked Cell 4 3 3" xfId="11294" xr:uid="{00000000-0005-0000-0000-00001E2C0000}"/>
    <cellStyle name="Linked Cell 4 4" xfId="11295" xr:uid="{00000000-0005-0000-0000-00001F2C0000}"/>
    <cellStyle name="Linked Cell 5" xfId="11296" xr:uid="{00000000-0005-0000-0000-0000202C0000}"/>
    <cellStyle name="Linked Cell 5 2" xfId="11297" xr:uid="{00000000-0005-0000-0000-0000212C0000}"/>
    <cellStyle name="Linked Cell 5 2 2" xfId="11298" xr:uid="{00000000-0005-0000-0000-0000222C0000}"/>
    <cellStyle name="Linked Cell 5 3" xfId="11299" xr:uid="{00000000-0005-0000-0000-0000232C0000}"/>
    <cellStyle name="Linked Cell 5 3 2" xfId="11300" xr:uid="{00000000-0005-0000-0000-0000242C0000}"/>
    <cellStyle name="Linked Cell 5 3 2 2" xfId="11301" xr:uid="{00000000-0005-0000-0000-0000252C0000}"/>
    <cellStyle name="Linked Cell 5 3 3" xfId="11302" xr:uid="{00000000-0005-0000-0000-0000262C0000}"/>
    <cellStyle name="Linked Cell 5 4" xfId="11303" xr:uid="{00000000-0005-0000-0000-0000272C0000}"/>
    <cellStyle name="Linked Cell 6" xfId="11304" xr:uid="{00000000-0005-0000-0000-0000282C0000}"/>
    <cellStyle name="Linked Cell 6 2" xfId="11305" xr:uid="{00000000-0005-0000-0000-0000292C0000}"/>
    <cellStyle name="Linked Cell 6 2 2" xfId="11306" xr:uid="{00000000-0005-0000-0000-00002A2C0000}"/>
    <cellStyle name="Linked Cell 6 3" xfId="11307" xr:uid="{00000000-0005-0000-0000-00002B2C0000}"/>
    <cellStyle name="Linked Cell 7" xfId="11308" xr:uid="{00000000-0005-0000-0000-00002C2C0000}"/>
    <cellStyle name="Linked Cell 7 2" xfId="11309" xr:uid="{00000000-0005-0000-0000-00002D2C0000}"/>
    <cellStyle name="Linked Cell 8" xfId="11310" xr:uid="{00000000-0005-0000-0000-00002E2C0000}"/>
    <cellStyle name="Linked Cell 9" xfId="11311" xr:uid="{00000000-0005-0000-0000-00002F2C0000}"/>
    <cellStyle name="Missing" xfId="11312" xr:uid="{00000000-0005-0000-0000-0000302C0000}"/>
    <cellStyle name="Missing 2" xfId="11313" xr:uid="{00000000-0005-0000-0000-0000312C0000}"/>
    <cellStyle name="mmmyy" xfId="11314" xr:uid="{00000000-0005-0000-0000-0000322C0000}"/>
    <cellStyle name="Neutral 2" xfId="11315" xr:uid="{00000000-0005-0000-0000-0000332C0000}"/>
    <cellStyle name="Neutral 2 10" xfId="11316" xr:uid="{00000000-0005-0000-0000-0000342C0000}"/>
    <cellStyle name="Neutral 2 10 2" xfId="11317" xr:uid="{00000000-0005-0000-0000-0000352C0000}"/>
    <cellStyle name="Neutral 2 11" xfId="11318" xr:uid="{00000000-0005-0000-0000-0000362C0000}"/>
    <cellStyle name="Neutral 2 12" xfId="11319" xr:uid="{00000000-0005-0000-0000-0000372C0000}"/>
    <cellStyle name="Neutral 2 2" xfId="11320" xr:uid="{00000000-0005-0000-0000-0000382C0000}"/>
    <cellStyle name="Neutral 2 2 2" xfId="11321" xr:uid="{00000000-0005-0000-0000-0000392C0000}"/>
    <cellStyle name="Neutral 2 2 2 2" xfId="11322" xr:uid="{00000000-0005-0000-0000-00003A2C0000}"/>
    <cellStyle name="Neutral 2 2 3" xfId="11323" xr:uid="{00000000-0005-0000-0000-00003B2C0000}"/>
    <cellStyle name="Neutral 2 2 3 2" xfId="11324" xr:uid="{00000000-0005-0000-0000-00003C2C0000}"/>
    <cellStyle name="Neutral 2 2 3 2 2" xfId="11325" xr:uid="{00000000-0005-0000-0000-00003D2C0000}"/>
    <cellStyle name="Neutral 2 2 3 3" xfId="11326" xr:uid="{00000000-0005-0000-0000-00003E2C0000}"/>
    <cellStyle name="Neutral 2 2 4" xfId="11327" xr:uid="{00000000-0005-0000-0000-00003F2C0000}"/>
    <cellStyle name="Neutral 2 2 4 2" xfId="11328" xr:uid="{00000000-0005-0000-0000-0000402C0000}"/>
    <cellStyle name="Neutral 2 2 5" xfId="11329" xr:uid="{00000000-0005-0000-0000-0000412C0000}"/>
    <cellStyle name="Neutral 2 3" xfId="11330" xr:uid="{00000000-0005-0000-0000-0000422C0000}"/>
    <cellStyle name="Neutral 2 3 2" xfId="11331" xr:uid="{00000000-0005-0000-0000-0000432C0000}"/>
    <cellStyle name="Neutral 2 3 2 2" xfId="11332" xr:uid="{00000000-0005-0000-0000-0000442C0000}"/>
    <cellStyle name="Neutral 2 3 3" xfId="11333" xr:uid="{00000000-0005-0000-0000-0000452C0000}"/>
    <cellStyle name="Neutral 2 3 3 2" xfId="11334" xr:uid="{00000000-0005-0000-0000-0000462C0000}"/>
    <cellStyle name="Neutral 2 3 3 2 2" xfId="11335" xr:uid="{00000000-0005-0000-0000-0000472C0000}"/>
    <cellStyle name="Neutral 2 3 3 3" xfId="11336" xr:uid="{00000000-0005-0000-0000-0000482C0000}"/>
    <cellStyle name="Neutral 2 3 4" xfId="11337" xr:uid="{00000000-0005-0000-0000-0000492C0000}"/>
    <cellStyle name="Neutral 2 4" xfId="11338" xr:uid="{00000000-0005-0000-0000-00004A2C0000}"/>
    <cellStyle name="Neutral 2 4 2" xfId="11339" xr:uid="{00000000-0005-0000-0000-00004B2C0000}"/>
    <cellStyle name="Neutral 2 4 2 2" xfId="11340" xr:uid="{00000000-0005-0000-0000-00004C2C0000}"/>
    <cellStyle name="Neutral 2 4 3" xfId="11341" xr:uid="{00000000-0005-0000-0000-00004D2C0000}"/>
    <cellStyle name="Neutral 2 5" xfId="11342" xr:uid="{00000000-0005-0000-0000-00004E2C0000}"/>
    <cellStyle name="Neutral 2 5 2" xfId="11343" xr:uid="{00000000-0005-0000-0000-00004F2C0000}"/>
    <cellStyle name="Neutral 2 5 2 2" xfId="11344" xr:uid="{00000000-0005-0000-0000-0000502C0000}"/>
    <cellStyle name="Neutral 2 5 3" xfId="11345" xr:uid="{00000000-0005-0000-0000-0000512C0000}"/>
    <cellStyle name="Neutral 2 5 3 2" xfId="11346" xr:uid="{00000000-0005-0000-0000-0000522C0000}"/>
    <cellStyle name="Neutral 2 5 3 2 2" xfId="11347" xr:uid="{00000000-0005-0000-0000-0000532C0000}"/>
    <cellStyle name="Neutral 2 5 3 3" xfId="11348" xr:uid="{00000000-0005-0000-0000-0000542C0000}"/>
    <cellStyle name="Neutral 2 5 4" xfId="11349" xr:uid="{00000000-0005-0000-0000-0000552C0000}"/>
    <cellStyle name="Neutral 2 6" xfId="11350" xr:uid="{00000000-0005-0000-0000-0000562C0000}"/>
    <cellStyle name="Neutral 2 6 2" xfId="11351" xr:uid="{00000000-0005-0000-0000-0000572C0000}"/>
    <cellStyle name="Neutral 2 6 2 2" xfId="11352" xr:uid="{00000000-0005-0000-0000-0000582C0000}"/>
    <cellStyle name="Neutral 2 6 3" xfId="11353" xr:uid="{00000000-0005-0000-0000-0000592C0000}"/>
    <cellStyle name="Neutral 2 6 3 2" xfId="11354" xr:uid="{00000000-0005-0000-0000-00005A2C0000}"/>
    <cellStyle name="Neutral 2 6 4" xfId="11355" xr:uid="{00000000-0005-0000-0000-00005B2C0000}"/>
    <cellStyle name="Neutral 2 7" xfId="11356" xr:uid="{00000000-0005-0000-0000-00005C2C0000}"/>
    <cellStyle name="Neutral 2 7 2" xfId="11357" xr:uid="{00000000-0005-0000-0000-00005D2C0000}"/>
    <cellStyle name="Neutral 2 8" xfId="11358" xr:uid="{00000000-0005-0000-0000-00005E2C0000}"/>
    <cellStyle name="Neutral 2 8 2" xfId="11359" xr:uid="{00000000-0005-0000-0000-00005F2C0000}"/>
    <cellStyle name="Neutral 2 8 2 2" xfId="11360" xr:uid="{00000000-0005-0000-0000-0000602C0000}"/>
    <cellStyle name="Neutral 2 8 3" xfId="11361" xr:uid="{00000000-0005-0000-0000-0000612C0000}"/>
    <cellStyle name="Neutral 2 9" xfId="11362" xr:uid="{00000000-0005-0000-0000-0000622C0000}"/>
    <cellStyle name="Neutral 2 9 2" xfId="11363" xr:uid="{00000000-0005-0000-0000-0000632C0000}"/>
    <cellStyle name="Neutral 2 9 2 2" xfId="11364" xr:uid="{00000000-0005-0000-0000-0000642C0000}"/>
    <cellStyle name="Neutral 2 9 3" xfId="11365" xr:uid="{00000000-0005-0000-0000-0000652C0000}"/>
    <cellStyle name="Neutral 3" xfId="11366" xr:uid="{00000000-0005-0000-0000-0000662C0000}"/>
    <cellStyle name="Neutral 3 2" xfId="11367" xr:uid="{00000000-0005-0000-0000-0000672C0000}"/>
    <cellStyle name="Neutral 3 2 2" xfId="11368" xr:uid="{00000000-0005-0000-0000-0000682C0000}"/>
    <cellStyle name="Neutral 3 3" xfId="11369" xr:uid="{00000000-0005-0000-0000-0000692C0000}"/>
    <cellStyle name="Neutral 3 3 2" xfId="11370" xr:uid="{00000000-0005-0000-0000-00006A2C0000}"/>
    <cellStyle name="Neutral 3 4" xfId="11371" xr:uid="{00000000-0005-0000-0000-00006B2C0000}"/>
    <cellStyle name="Neutral 3 4 2" xfId="11372" xr:uid="{00000000-0005-0000-0000-00006C2C0000}"/>
    <cellStyle name="Neutral 3 4 2 2" xfId="11373" xr:uid="{00000000-0005-0000-0000-00006D2C0000}"/>
    <cellStyle name="Neutral 3 4 3" xfId="11374" xr:uid="{00000000-0005-0000-0000-00006E2C0000}"/>
    <cellStyle name="Neutral 3 5" xfId="11375" xr:uid="{00000000-0005-0000-0000-00006F2C0000}"/>
    <cellStyle name="Neutral 4" xfId="11376" xr:uid="{00000000-0005-0000-0000-0000702C0000}"/>
    <cellStyle name="Neutral 4 2" xfId="11377" xr:uid="{00000000-0005-0000-0000-0000712C0000}"/>
    <cellStyle name="Neutral 4 2 2" xfId="11378" xr:uid="{00000000-0005-0000-0000-0000722C0000}"/>
    <cellStyle name="Neutral 4 3" xfId="11379" xr:uid="{00000000-0005-0000-0000-0000732C0000}"/>
    <cellStyle name="Neutral 4 3 2" xfId="11380" xr:uid="{00000000-0005-0000-0000-0000742C0000}"/>
    <cellStyle name="Neutral 4 3 2 2" xfId="11381" xr:uid="{00000000-0005-0000-0000-0000752C0000}"/>
    <cellStyle name="Neutral 4 3 3" xfId="11382" xr:uid="{00000000-0005-0000-0000-0000762C0000}"/>
    <cellStyle name="Neutral 4 4" xfId="11383" xr:uid="{00000000-0005-0000-0000-0000772C0000}"/>
    <cellStyle name="Neutral 5" xfId="11384" xr:uid="{00000000-0005-0000-0000-0000782C0000}"/>
    <cellStyle name="Neutral 5 2" xfId="11385" xr:uid="{00000000-0005-0000-0000-0000792C0000}"/>
    <cellStyle name="Neutral 5 2 2" xfId="11386" xr:uid="{00000000-0005-0000-0000-00007A2C0000}"/>
    <cellStyle name="Neutral 5 3" xfId="11387" xr:uid="{00000000-0005-0000-0000-00007B2C0000}"/>
    <cellStyle name="Neutral 5 3 2" xfId="11388" xr:uid="{00000000-0005-0000-0000-00007C2C0000}"/>
    <cellStyle name="Neutral 5 3 2 2" xfId="11389" xr:uid="{00000000-0005-0000-0000-00007D2C0000}"/>
    <cellStyle name="Neutral 5 3 3" xfId="11390" xr:uid="{00000000-0005-0000-0000-00007E2C0000}"/>
    <cellStyle name="Neutral 5 4" xfId="11391" xr:uid="{00000000-0005-0000-0000-00007F2C0000}"/>
    <cellStyle name="Neutral 6" xfId="11392" xr:uid="{00000000-0005-0000-0000-0000802C0000}"/>
    <cellStyle name="Neutral 6 2" xfId="11393" xr:uid="{00000000-0005-0000-0000-0000812C0000}"/>
    <cellStyle name="Neutral 6 2 2" xfId="11394" xr:uid="{00000000-0005-0000-0000-0000822C0000}"/>
    <cellStyle name="Neutral 6 3" xfId="11395" xr:uid="{00000000-0005-0000-0000-0000832C0000}"/>
    <cellStyle name="Neutral 7" xfId="11396" xr:uid="{00000000-0005-0000-0000-0000842C0000}"/>
    <cellStyle name="Neutral 7 2" xfId="11397" xr:uid="{00000000-0005-0000-0000-0000852C0000}"/>
    <cellStyle name="Neutral 8" xfId="11398" xr:uid="{00000000-0005-0000-0000-0000862C0000}"/>
    <cellStyle name="Neutral 9" xfId="11399" xr:uid="{00000000-0005-0000-0000-0000872C0000}"/>
    <cellStyle name="no dec" xfId="11400" xr:uid="{00000000-0005-0000-0000-0000882C0000}"/>
    <cellStyle name="Normal" xfId="0" builtinId="0"/>
    <cellStyle name="Normal - Style1" xfId="11401" xr:uid="{00000000-0005-0000-0000-0000892C0000}"/>
    <cellStyle name="Normal - Style1 2" xfId="11402" xr:uid="{00000000-0005-0000-0000-00008A2C0000}"/>
    <cellStyle name="Normal - Style1 2 2" xfId="11403" xr:uid="{00000000-0005-0000-0000-00008B2C0000}"/>
    <cellStyle name="Normal - Style1 3" xfId="11404" xr:uid="{00000000-0005-0000-0000-00008C2C0000}"/>
    <cellStyle name="Normal - Style1 3 2" xfId="11405" xr:uid="{00000000-0005-0000-0000-00008D2C0000}"/>
    <cellStyle name="Normal - Style1 4" xfId="11406" xr:uid="{00000000-0005-0000-0000-00008E2C0000}"/>
    <cellStyle name="Normal - Style1 5" xfId="11407" xr:uid="{00000000-0005-0000-0000-00008F2C0000}"/>
    <cellStyle name="Normal 10" xfId="47" xr:uid="{00000000-0005-0000-0000-00002F000000}"/>
    <cellStyle name="Normal 10 2" xfId="11408" xr:uid="{00000000-0005-0000-0000-0000902C0000}"/>
    <cellStyle name="Normal 10 2 2" xfId="11409" xr:uid="{00000000-0005-0000-0000-0000912C0000}"/>
    <cellStyle name="Normal 10 2 2 2" xfId="11410" xr:uid="{00000000-0005-0000-0000-0000922C0000}"/>
    <cellStyle name="Normal 10 2 3" xfId="11411" xr:uid="{00000000-0005-0000-0000-0000932C0000}"/>
    <cellStyle name="Normal 10 2 3 2" xfId="11412" xr:uid="{00000000-0005-0000-0000-0000942C0000}"/>
    <cellStyle name="Normal 10 2 3 2 2" xfId="11413" xr:uid="{00000000-0005-0000-0000-0000952C0000}"/>
    <cellStyle name="Normal 10 2 3 3" xfId="11414" xr:uid="{00000000-0005-0000-0000-0000962C0000}"/>
    <cellStyle name="Normal 10 2 4" xfId="11415" xr:uid="{00000000-0005-0000-0000-0000972C0000}"/>
    <cellStyle name="Normal 10 3" xfId="11416" xr:uid="{00000000-0005-0000-0000-0000982C0000}"/>
    <cellStyle name="Normal 10 3 2" xfId="11417" xr:uid="{00000000-0005-0000-0000-0000992C0000}"/>
    <cellStyle name="Normal 10 3 2 2" xfId="11418" xr:uid="{00000000-0005-0000-0000-00009A2C0000}"/>
    <cellStyle name="Normal 10 3 2 2 2" xfId="11419" xr:uid="{00000000-0005-0000-0000-00009B2C0000}"/>
    <cellStyle name="Normal 10 3 2 3" xfId="11420" xr:uid="{00000000-0005-0000-0000-00009C2C0000}"/>
    <cellStyle name="Normal 10 3 3" xfId="11421" xr:uid="{00000000-0005-0000-0000-00009D2C0000}"/>
    <cellStyle name="Normal 10 3 3 2" xfId="11422" xr:uid="{00000000-0005-0000-0000-00009E2C0000}"/>
    <cellStyle name="Normal 10 3 3 2 2" xfId="11423" xr:uid="{00000000-0005-0000-0000-00009F2C0000}"/>
    <cellStyle name="Normal 10 3 3 3" xfId="11424" xr:uid="{00000000-0005-0000-0000-0000A02C0000}"/>
    <cellStyle name="Normal 10 3 4" xfId="11425" xr:uid="{00000000-0005-0000-0000-0000A12C0000}"/>
    <cellStyle name="Normal 10 4" xfId="11426" xr:uid="{00000000-0005-0000-0000-0000A22C0000}"/>
    <cellStyle name="Normal 10 4 2" xfId="11427" xr:uid="{00000000-0005-0000-0000-0000A32C0000}"/>
    <cellStyle name="Normal 10 5" xfId="11428" xr:uid="{00000000-0005-0000-0000-0000A42C0000}"/>
    <cellStyle name="Normal 10 5 2" xfId="11429" xr:uid="{00000000-0005-0000-0000-0000A52C0000}"/>
    <cellStyle name="Normal 10 5 2 2" xfId="11430" xr:uid="{00000000-0005-0000-0000-0000A62C0000}"/>
    <cellStyle name="Normal 10 5 3" xfId="11431" xr:uid="{00000000-0005-0000-0000-0000A72C0000}"/>
    <cellStyle name="Normal 10 6" xfId="11432" xr:uid="{00000000-0005-0000-0000-0000A82C0000}"/>
    <cellStyle name="Normal 10 6 2" xfId="11433" xr:uid="{00000000-0005-0000-0000-0000A92C0000}"/>
    <cellStyle name="Normal 10 6 2 2" xfId="11434" xr:uid="{00000000-0005-0000-0000-0000AA2C0000}"/>
    <cellStyle name="Normal 10 6 3" xfId="11435" xr:uid="{00000000-0005-0000-0000-0000AB2C0000}"/>
    <cellStyle name="Normal 10 7" xfId="11436" xr:uid="{00000000-0005-0000-0000-0000AC2C0000}"/>
    <cellStyle name="Normal 10 7 2" xfId="11437" xr:uid="{00000000-0005-0000-0000-0000AD2C0000}"/>
    <cellStyle name="Normal 10 7 2 2" xfId="11438" xr:uid="{00000000-0005-0000-0000-0000AE2C0000}"/>
    <cellStyle name="Normal 10 7 3" xfId="11439" xr:uid="{00000000-0005-0000-0000-0000AF2C0000}"/>
    <cellStyle name="Normal 10 8" xfId="11440" xr:uid="{00000000-0005-0000-0000-0000B02C0000}"/>
    <cellStyle name="Normal 10 9" xfId="11441" xr:uid="{00000000-0005-0000-0000-0000B12C0000}"/>
    <cellStyle name="Normal 100" xfId="11442" xr:uid="{00000000-0005-0000-0000-0000B22C0000}"/>
    <cellStyle name="Normal 100 2" xfId="11443" xr:uid="{00000000-0005-0000-0000-0000B32C0000}"/>
    <cellStyle name="Normal 100 2 2" xfId="11444" xr:uid="{00000000-0005-0000-0000-0000B42C0000}"/>
    <cellStyle name="Normal 100 2 2 2" xfId="11445" xr:uid="{00000000-0005-0000-0000-0000B52C0000}"/>
    <cellStyle name="Normal 100 2 3" xfId="11446" xr:uid="{00000000-0005-0000-0000-0000B62C0000}"/>
    <cellStyle name="Normal 100 3" xfId="11447" xr:uid="{00000000-0005-0000-0000-0000B72C0000}"/>
    <cellStyle name="Normal 100 3 2" xfId="11448" xr:uid="{00000000-0005-0000-0000-0000B82C0000}"/>
    <cellStyle name="Normal 100 3 2 2" xfId="11449" xr:uid="{00000000-0005-0000-0000-0000B92C0000}"/>
    <cellStyle name="Normal 100 3 3" xfId="11450" xr:uid="{00000000-0005-0000-0000-0000BA2C0000}"/>
    <cellStyle name="Normal 100 3 3 2" xfId="11451" xr:uid="{00000000-0005-0000-0000-0000BB2C0000}"/>
    <cellStyle name="Normal 100 3 3 2 2" xfId="11452" xr:uid="{00000000-0005-0000-0000-0000BC2C0000}"/>
    <cellStyle name="Normal 100 3 3 3" xfId="11453" xr:uid="{00000000-0005-0000-0000-0000BD2C0000}"/>
    <cellStyle name="Normal 100 3 4" xfId="11454" xr:uid="{00000000-0005-0000-0000-0000BE2C0000}"/>
    <cellStyle name="Normal 100 4" xfId="11455" xr:uid="{00000000-0005-0000-0000-0000BF2C0000}"/>
    <cellStyle name="Normal 100 4 2" xfId="11456" xr:uid="{00000000-0005-0000-0000-0000C02C0000}"/>
    <cellStyle name="Normal 100 4 2 2" xfId="11457" xr:uid="{00000000-0005-0000-0000-0000C12C0000}"/>
    <cellStyle name="Normal 100 4 3" xfId="11458" xr:uid="{00000000-0005-0000-0000-0000C22C0000}"/>
    <cellStyle name="Normal 100 5" xfId="11459" xr:uid="{00000000-0005-0000-0000-0000C32C0000}"/>
    <cellStyle name="Normal 101" xfId="11460" xr:uid="{00000000-0005-0000-0000-0000C42C0000}"/>
    <cellStyle name="Normal 101 2" xfId="11461" xr:uid="{00000000-0005-0000-0000-0000C52C0000}"/>
    <cellStyle name="Normal 101 2 2" xfId="11462" xr:uid="{00000000-0005-0000-0000-0000C62C0000}"/>
    <cellStyle name="Normal 101 2 2 2" xfId="11463" xr:uid="{00000000-0005-0000-0000-0000C72C0000}"/>
    <cellStyle name="Normal 101 2 3" xfId="11464" xr:uid="{00000000-0005-0000-0000-0000C82C0000}"/>
    <cellStyle name="Normal 101 3" xfId="11465" xr:uid="{00000000-0005-0000-0000-0000C92C0000}"/>
    <cellStyle name="Normal 101 3 2" xfId="11466" xr:uid="{00000000-0005-0000-0000-0000CA2C0000}"/>
    <cellStyle name="Normal 101 3 2 2" xfId="11467" xr:uid="{00000000-0005-0000-0000-0000CB2C0000}"/>
    <cellStyle name="Normal 101 3 3" xfId="11468" xr:uid="{00000000-0005-0000-0000-0000CC2C0000}"/>
    <cellStyle name="Normal 101 3 3 2" xfId="11469" xr:uid="{00000000-0005-0000-0000-0000CD2C0000}"/>
    <cellStyle name="Normal 101 3 3 2 2" xfId="11470" xr:uid="{00000000-0005-0000-0000-0000CE2C0000}"/>
    <cellStyle name="Normal 101 3 3 3" xfId="11471" xr:uid="{00000000-0005-0000-0000-0000CF2C0000}"/>
    <cellStyle name="Normal 101 3 4" xfId="11472" xr:uid="{00000000-0005-0000-0000-0000D02C0000}"/>
    <cellStyle name="Normal 101 4" xfId="11473" xr:uid="{00000000-0005-0000-0000-0000D12C0000}"/>
    <cellStyle name="Normal 101 4 2" xfId="11474" xr:uid="{00000000-0005-0000-0000-0000D22C0000}"/>
    <cellStyle name="Normal 101 4 2 2" xfId="11475" xr:uid="{00000000-0005-0000-0000-0000D32C0000}"/>
    <cellStyle name="Normal 101 4 3" xfId="11476" xr:uid="{00000000-0005-0000-0000-0000D42C0000}"/>
    <cellStyle name="Normal 101 5" xfId="11477" xr:uid="{00000000-0005-0000-0000-0000D52C0000}"/>
    <cellStyle name="Normal 102" xfId="11478" xr:uid="{00000000-0005-0000-0000-0000D62C0000}"/>
    <cellStyle name="Normal 102 2" xfId="11479" xr:uid="{00000000-0005-0000-0000-0000D72C0000}"/>
    <cellStyle name="Normal 102 2 2" xfId="11480" xr:uid="{00000000-0005-0000-0000-0000D82C0000}"/>
    <cellStyle name="Normal 102 2 2 2" xfId="11481" xr:uid="{00000000-0005-0000-0000-0000D92C0000}"/>
    <cellStyle name="Normal 102 2 3" xfId="11482" xr:uid="{00000000-0005-0000-0000-0000DA2C0000}"/>
    <cellStyle name="Normal 102 3" xfId="11483" xr:uid="{00000000-0005-0000-0000-0000DB2C0000}"/>
    <cellStyle name="Normal 102 3 2" xfId="11484" xr:uid="{00000000-0005-0000-0000-0000DC2C0000}"/>
    <cellStyle name="Normal 102 3 2 2" xfId="11485" xr:uid="{00000000-0005-0000-0000-0000DD2C0000}"/>
    <cellStyle name="Normal 102 3 3" xfId="11486" xr:uid="{00000000-0005-0000-0000-0000DE2C0000}"/>
    <cellStyle name="Normal 102 3 3 2" xfId="11487" xr:uid="{00000000-0005-0000-0000-0000DF2C0000}"/>
    <cellStyle name="Normal 102 3 3 2 2" xfId="11488" xr:uid="{00000000-0005-0000-0000-0000E02C0000}"/>
    <cellStyle name="Normal 102 3 3 3" xfId="11489" xr:uid="{00000000-0005-0000-0000-0000E12C0000}"/>
    <cellStyle name="Normal 102 3 4" xfId="11490" xr:uid="{00000000-0005-0000-0000-0000E22C0000}"/>
    <cellStyle name="Normal 102 4" xfId="11491" xr:uid="{00000000-0005-0000-0000-0000E32C0000}"/>
    <cellStyle name="Normal 102 4 2" xfId="11492" xr:uid="{00000000-0005-0000-0000-0000E42C0000}"/>
    <cellStyle name="Normal 102 4 2 2" xfId="11493" xr:uid="{00000000-0005-0000-0000-0000E52C0000}"/>
    <cellStyle name="Normal 102 4 3" xfId="11494" xr:uid="{00000000-0005-0000-0000-0000E62C0000}"/>
    <cellStyle name="Normal 102 5" xfId="11495" xr:uid="{00000000-0005-0000-0000-0000E72C0000}"/>
    <cellStyle name="Normal 103" xfId="11496" xr:uid="{00000000-0005-0000-0000-0000E82C0000}"/>
    <cellStyle name="Normal 103 2" xfId="11497" xr:uid="{00000000-0005-0000-0000-0000E92C0000}"/>
    <cellStyle name="Normal 103 2 2" xfId="11498" xr:uid="{00000000-0005-0000-0000-0000EA2C0000}"/>
    <cellStyle name="Normal 103 2 2 2" xfId="11499" xr:uid="{00000000-0005-0000-0000-0000EB2C0000}"/>
    <cellStyle name="Normal 103 2 3" xfId="11500" xr:uid="{00000000-0005-0000-0000-0000EC2C0000}"/>
    <cellStyle name="Normal 103 3" xfId="11501" xr:uid="{00000000-0005-0000-0000-0000ED2C0000}"/>
    <cellStyle name="Normal 103 3 2" xfId="11502" xr:uid="{00000000-0005-0000-0000-0000EE2C0000}"/>
    <cellStyle name="Normal 103 3 2 2" xfId="11503" xr:uid="{00000000-0005-0000-0000-0000EF2C0000}"/>
    <cellStyle name="Normal 103 3 3" xfId="11504" xr:uid="{00000000-0005-0000-0000-0000F02C0000}"/>
    <cellStyle name="Normal 103 3 3 2" xfId="11505" xr:uid="{00000000-0005-0000-0000-0000F12C0000}"/>
    <cellStyle name="Normal 103 3 3 2 2" xfId="11506" xr:uid="{00000000-0005-0000-0000-0000F22C0000}"/>
    <cellStyle name="Normal 103 3 3 3" xfId="11507" xr:uid="{00000000-0005-0000-0000-0000F32C0000}"/>
    <cellStyle name="Normal 103 3 4" xfId="11508" xr:uid="{00000000-0005-0000-0000-0000F42C0000}"/>
    <cellStyle name="Normal 103 4" xfId="11509" xr:uid="{00000000-0005-0000-0000-0000F52C0000}"/>
    <cellStyle name="Normal 103 4 2" xfId="11510" xr:uid="{00000000-0005-0000-0000-0000F62C0000}"/>
    <cellStyle name="Normal 103 4 2 2" xfId="11511" xr:uid="{00000000-0005-0000-0000-0000F72C0000}"/>
    <cellStyle name="Normal 103 4 3" xfId="11512" xr:uid="{00000000-0005-0000-0000-0000F82C0000}"/>
    <cellStyle name="Normal 103 5" xfId="11513" xr:uid="{00000000-0005-0000-0000-0000F92C0000}"/>
    <cellStyle name="Normal 104" xfId="11514" xr:uid="{00000000-0005-0000-0000-0000FA2C0000}"/>
    <cellStyle name="Normal 104 2" xfId="11515" xr:uid="{00000000-0005-0000-0000-0000FB2C0000}"/>
    <cellStyle name="Normal 104 2 2" xfId="11516" xr:uid="{00000000-0005-0000-0000-0000FC2C0000}"/>
    <cellStyle name="Normal 104 2 2 2" xfId="11517" xr:uid="{00000000-0005-0000-0000-0000FD2C0000}"/>
    <cellStyle name="Normal 104 2 3" xfId="11518" xr:uid="{00000000-0005-0000-0000-0000FE2C0000}"/>
    <cellStyle name="Normal 104 3" xfId="11519" xr:uid="{00000000-0005-0000-0000-0000FF2C0000}"/>
    <cellStyle name="Normal 104 3 2" xfId="11520" xr:uid="{00000000-0005-0000-0000-0000002D0000}"/>
    <cellStyle name="Normal 104 3 2 2" xfId="11521" xr:uid="{00000000-0005-0000-0000-0000012D0000}"/>
    <cellStyle name="Normal 104 3 3" xfId="11522" xr:uid="{00000000-0005-0000-0000-0000022D0000}"/>
    <cellStyle name="Normal 104 3 3 2" xfId="11523" xr:uid="{00000000-0005-0000-0000-0000032D0000}"/>
    <cellStyle name="Normal 104 3 3 2 2" xfId="11524" xr:uid="{00000000-0005-0000-0000-0000042D0000}"/>
    <cellStyle name="Normal 104 3 3 3" xfId="11525" xr:uid="{00000000-0005-0000-0000-0000052D0000}"/>
    <cellStyle name="Normal 104 3 4" xfId="11526" xr:uid="{00000000-0005-0000-0000-0000062D0000}"/>
    <cellStyle name="Normal 104 4" xfId="11527" xr:uid="{00000000-0005-0000-0000-0000072D0000}"/>
    <cellStyle name="Normal 104 4 2" xfId="11528" xr:uid="{00000000-0005-0000-0000-0000082D0000}"/>
    <cellStyle name="Normal 104 4 2 2" xfId="11529" xr:uid="{00000000-0005-0000-0000-0000092D0000}"/>
    <cellStyle name="Normal 104 4 3" xfId="11530" xr:uid="{00000000-0005-0000-0000-00000A2D0000}"/>
    <cellStyle name="Normal 104 5" xfId="11531" xr:uid="{00000000-0005-0000-0000-00000B2D0000}"/>
    <cellStyle name="Normal 105" xfId="11532" xr:uid="{00000000-0005-0000-0000-00000C2D0000}"/>
    <cellStyle name="Normal 105 2" xfId="11533" xr:uid="{00000000-0005-0000-0000-00000D2D0000}"/>
    <cellStyle name="Normal 105 2 2" xfId="11534" xr:uid="{00000000-0005-0000-0000-00000E2D0000}"/>
    <cellStyle name="Normal 105 2 2 2" xfId="11535" xr:uid="{00000000-0005-0000-0000-00000F2D0000}"/>
    <cellStyle name="Normal 105 2 3" xfId="11536" xr:uid="{00000000-0005-0000-0000-0000102D0000}"/>
    <cellStyle name="Normal 105 3" xfId="11537" xr:uid="{00000000-0005-0000-0000-0000112D0000}"/>
    <cellStyle name="Normal 105 3 2" xfId="11538" xr:uid="{00000000-0005-0000-0000-0000122D0000}"/>
    <cellStyle name="Normal 105 3 2 2" xfId="11539" xr:uid="{00000000-0005-0000-0000-0000132D0000}"/>
    <cellStyle name="Normal 105 3 3" xfId="11540" xr:uid="{00000000-0005-0000-0000-0000142D0000}"/>
    <cellStyle name="Normal 105 3 3 2" xfId="11541" xr:uid="{00000000-0005-0000-0000-0000152D0000}"/>
    <cellStyle name="Normal 105 3 3 2 2" xfId="11542" xr:uid="{00000000-0005-0000-0000-0000162D0000}"/>
    <cellStyle name="Normal 105 3 3 3" xfId="11543" xr:uid="{00000000-0005-0000-0000-0000172D0000}"/>
    <cellStyle name="Normal 105 3 4" xfId="11544" xr:uid="{00000000-0005-0000-0000-0000182D0000}"/>
    <cellStyle name="Normal 105 4" xfId="11545" xr:uid="{00000000-0005-0000-0000-0000192D0000}"/>
    <cellStyle name="Normal 105 4 2" xfId="11546" xr:uid="{00000000-0005-0000-0000-00001A2D0000}"/>
    <cellStyle name="Normal 105 4 2 2" xfId="11547" xr:uid="{00000000-0005-0000-0000-00001B2D0000}"/>
    <cellStyle name="Normal 105 4 3" xfId="11548" xr:uid="{00000000-0005-0000-0000-00001C2D0000}"/>
    <cellStyle name="Normal 105 5" xfId="11549" xr:uid="{00000000-0005-0000-0000-00001D2D0000}"/>
    <cellStyle name="Normal 106" xfId="11550" xr:uid="{00000000-0005-0000-0000-00001E2D0000}"/>
    <cellStyle name="Normal 106 2" xfId="11551" xr:uid="{00000000-0005-0000-0000-00001F2D0000}"/>
    <cellStyle name="Normal 106 2 2" xfId="11552" xr:uid="{00000000-0005-0000-0000-0000202D0000}"/>
    <cellStyle name="Normal 106 2 2 2" xfId="11553" xr:uid="{00000000-0005-0000-0000-0000212D0000}"/>
    <cellStyle name="Normal 106 2 3" xfId="11554" xr:uid="{00000000-0005-0000-0000-0000222D0000}"/>
    <cellStyle name="Normal 106 3" xfId="11555" xr:uid="{00000000-0005-0000-0000-0000232D0000}"/>
    <cellStyle name="Normal 106 3 2" xfId="11556" xr:uid="{00000000-0005-0000-0000-0000242D0000}"/>
    <cellStyle name="Normal 106 3 2 2" xfId="11557" xr:uid="{00000000-0005-0000-0000-0000252D0000}"/>
    <cellStyle name="Normal 106 3 3" xfId="11558" xr:uid="{00000000-0005-0000-0000-0000262D0000}"/>
    <cellStyle name="Normal 106 3 3 2" xfId="11559" xr:uid="{00000000-0005-0000-0000-0000272D0000}"/>
    <cellStyle name="Normal 106 3 3 2 2" xfId="11560" xr:uid="{00000000-0005-0000-0000-0000282D0000}"/>
    <cellStyle name="Normal 106 3 3 3" xfId="11561" xr:uid="{00000000-0005-0000-0000-0000292D0000}"/>
    <cellStyle name="Normal 106 3 4" xfId="11562" xr:uid="{00000000-0005-0000-0000-00002A2D0000}"/>
    <cellStyle name="Normal 106 4" xfId="11563" xr:uid="{00000000-0005-0000-0000-00002B2D0000}"/>
    <cellStyle name="Normal 106 4 2" xfId="11564" xr:uid="{00000000-0005-0000-0000-00002C2D0000}"/>
    <cellStyle name="Normal 106 4 2 2" xfId="11565" xr:uid="{00000000-0005-0000-0000-00002D2D0000}"/>
    <cellStyle name="Normal 106 4 3" xfId="11566" xr:uid="{00000000-0005-0000-0000-00002E2D0000}"/>
    <cellStyle name="Normal 106 5" xfId="11567" xr:uid="{00000000-0005-0000-0000-00002F2D0000}"/>
    <cellStyle name="Normal 107" xfId="11568" xr:uid="{00000000-0005-0000-0000-0000302D0000}"/>
    <cellStyle name="Normal 107 2" xfId="11569" xr:uid="{00000000-0005-0000-0000-0000312D0000}"/>
    <cellStyle name="Normal 107 2 2" xfId="11570" xr:uid="{00000000-0005-0000-0000-0000322D0000}"/>
    <cellStyle name="Normal 107 2 2 2" xfId="11571" xr:uid="{00000000-0005-0000-0000-0000332D0000}"/>
    <cellStyle name="Normal 107 2 3" xfId="11572" xr:uid="{00000000-0005-0000-0000-0000342D0000}"/>
    <cellStyle name="Normal 107 3" xfId="11573" xr:uid="{00000000-0005-0000-0000-0000352D0000}"/>
    <cellStyle name="Normal 107 3 2" xfId="11574" xr:uid="{00000000-0005-0000-0000-0000362D0000}"/>
    <cellStyle name="Normal 107 3 2 2" xfId="11575" xr:uid="{00000000-0005-0000-0000-0000372D0000}"/>
    <cellStyle name="Normal 107 3 3" xfId="11576" xr:uid="{00000000-0005-0000-0000-0000382D0000}"/>
    <cellStyle name="Normal 107 3 3 2" xfId="11577" xr:uid="{00000000-0005-0000-0000-0000392D0000}"/>
    <cellStyle name="Normal 107 3 3 2 2" xfId="11578" xr:uid="{00000000-0005-0000-0000-00003A2D0000}"/>
    <cellStyle name="Normal 107 3 3 3" xfId="11579" xr:uid="{00000000-0005-0000-0000-00003B2D0000}"/>
    <cellStyle name="Normal 107 3 4" xfId="11580" xr:uid="{00000000-0005-0000-0000-00003C2D0000}"/>
    <cellStyle name="Normal 107 4" xfId="11581" xr:uid="{00000000-0005-0000-0000-00003D2D0000}"/>
    <cellStyle name="Normal 107 4 2" xfId="11582" xr:uid="{00000000-0005-0000-0000-00003E2D0000}"/>
    <cellStyle name="Normal 107 4 2 2" xfId="11583" xr:uid="{00000000-0005-0000-0000-00003F2D0000}"/>
    <cellStyle name="Normal 107 4 3" xfId="11584" xr:uid="{00000000-0005-0000-0000-0000402D0000}"/>
    <cellStyle name="Normal 107 5" xfId="11585" xr:uid="{00000000-0005-0000-0000-0000412D0000}"/>
    <cellStyle name="Normal 108" xfId="11586" xr:uid="{00000000-0005-0000-0000-0000422D0000}"/>
    <cellStyle name="Normal 108 2" xfId="11587" xr:uid="{00000000-0005-0000-0000-0000432D0000}"/>
    <cellStyle name="Normal 108 2 2" xfId="11588" xr:uid="{00000000-0005-0000-0000-0000442D0000}"/>
    <cellStyle name="Normal 108 2 2 2" xfId="11589" xr:uid="{00000000-0005-0000-0000-0000452D0000}"/>
    <cellStyle name="Normal 108 2 3" xfId="11590" xr:uid="{00000000-0005-0000-0000-0000462D0000}"/>
    <cellStyle name="Normal 108 3" xfId="11591" xr:uid="{00000000-0005-0000-0000-0000472D0000}"/>
    <cellStyle name="Normal 108 3 2" xfId="11592" xr:uid="{00000000-0005-0000-0000-0000482D0000}"/>
    <cellStyle name="Normal 108 3 2 2" xfId="11593" xr:uid="{00000000-0005-0000-0000-0000492D0000}"/>
    <cellStyle name="Normal 108 3 3" xfId="11594" xr:uid="{00000000-0005-0000-0000-00004A2D0000}"/>
    <cellStyle name="Normal 108 3 3 2" xfId="11595" xr:uid="{00000000-0005-0000-0000-00004B2D0000}"/>
    <cellStyle name="Normal 108 3 3 2 2" xfId="11596" xr:uid="{00000000-0005-0000-0000-00004C2D0000}"/>
    <cellStyle name="Normal 108 3 3 3" xfId="11597" xr:uid="{00000000-0005-0000-0000-00004D2D0000}"/>
    <cellStyle name="Normal 108 3 4" xfId="11598" xr:uid="{00000000-0005-0000-0000-00004E2D0000}"/>
    <cellStyle name="Normal 108 4" xfId="11599" xr:uid="{00000000-0005-0000-0000-00004F2D0000}"/>
    <cellStyle name="Normal 108 4 2" xfId="11600" xr:uid="{00000000-0005-0000-0000-0000502D0000}"/>
    <cellStyle name="Normal 108 4 2 2" xfId="11601" xr:uid="{00000000-0005-0000-0000-0000512D0000}"/>
    <cellStyle name="Normal 108 4 3" xfId="11602" xr:uid="{00000000-0005-0000-0000-0000522D0000}"/>
    <cellStyle name="Normal 108 5" xfId="11603" xr:uid="{00000000-0005-0000-0000-0000532D0000}"/>
    <cellStyle name="Normal 109" xfId="11604" xr:uid="{00000000-0005-0000-0000-0000542D0000}"/>
    <cellStyle name="Normal 109 2" xfId="11605" xr:uid="{00000000-0005-0000-0000-0000552D0000}"/>
    <cellStyle name="Normal 109 2 2" xfId="11606" xr:uid="{00000000-0005-0000-0000-0000562D0000}"/>
    <cellStyle name="Normal 109 2 2 2" xfId="11607" xr:uid="{00000000-0005-0000-0000-0000572D0000}"/>
    <cellStyle name="Normal 109 2 3" xfId="11608" xr:uid="{00000000-0005-0000-0000-0000582D0000}"/>
    <cellStyle name="Normal 109 3" xfId="11609" xr:uid="{00000000-0005-0000-0000-0000592D0000}"/>
    <cellStyle name="Normal 109 3 2" xfId="11610" xr:uid="{00000000-0005-0000-0000-00005A2D0000}"/>
    <cellStyle name="Normal 109 3 2 2" xfId="11611" xr:uid="{00000000-0005-0000-0000-00005B2D0000}"/>
    <cellStyle name="Normal 109 3 3" xfId="11612" xr:uid="{00000000-0005-0000-0000-00005C2D0000}"/>
    <cellStyle name="Normal 109 3 3 2" xfId="11613" xr:uid="{00000000-0005-0000-0000-00005D2D0000}"/>
    <cellStyle name="Normal 109 3 3 2 2" xfId="11614" xr:uid="{00000000-0005-0000-0000-00005E2D0000}"/>
    <cellStyle name="Normal 109 3 3 3" xfId="11615" xr:uid="{00000000-0005-0000-0000-00005F2D0000}"/>
    <cellStyle name="Normal 109 3 4" xfId="11616" xr:uid="{00000000-0005-0000-0000-0000602D0000}"/>
    <cellStyle name="Normal 109 4" xfId="11617" xr:uid="{00000000-0005-0000-0000-0000612D0000}"/>
    <cellStyle name="Normal 109 4 2" xfId="11618" xr:uid="{00000000-0005-0000-0000-0000622D0000}"/>
    <cellStyle name="Normal 109 4 2 2" xfId="11619" xr:uid="{00000000-0005-0000-0000-0000632D0000}"/>
    <cellStyle name="Normal 109 4 3" xfId="11620" xr:uid="{00000000-0005-0000-0000-0000642D0000}"/>
    <cellStyle name="Normal 109 5" xfId="11621" xr:uid="{00000000-0005-0000-0000-0000652D0000}"/>
    <cellStyle name="Normal 11" xfId="59" xr:uid="{00000000-0005-0000-0000-00003B000000}"/>
    <cellStyle name="Normal 11 2" xfId="11622" xr:uid="{00000000-0005-0000-0000-0000662D0000}"/>
    <cellStyle name="Normal 11 2 2" xfId="11623" xr:uid="{00000000-0005-0000-0000-0000672D0000}"/>
    <cellStyle name="Normal 11 2 2 2" xfId="11624" xr:uid="{00000000-0005-0000-0000-0000682D0000}"/>
    <cellStyle name="Normal 11 2 3" xfId="11625" xr:uid="{00000000-0005-0000-0000-0000692D0000}"/>
    <cellStyle name="Normal 11 2 3 2" xfId="11626" xr:uid="{00000000-0005-0000-0000-00006A2D0000}"/>
    <cellStyle name="Normal 11 2 3 2 2" xfId="11627" xr:uid="{00000000-0005-0000-0000-00006B2D0000}"/>
    <cellStyle name="Normal 11 2 3 3" xfId="11628" xr:uid="{00000000-0005-0000-0000-00006C2D0000}"/>
    <cellStyle name="Normal 11 2 4" xfId="11629" xr:uid="{00000000-0005-0000-0000-00006D2D0000}"/>
    <cellStyle name="Normal 11 2 5" xfId="11630" xr:uid="{00000000-0005-0000-0000-00006E2D0000}"/>
    <cellStyle name="Normal 11 3" xfId="11631" xr:uid="{00000000-0005-0000-0000-00006F2D0000}"/>
    <cellStyle name="Normal 11 3 2" xfId="11632" xr:uid="{00000000-0005-0000-0000-0000702D0000}"/>
    <cellStyle name="Normal 11 3 2 2" xfId="11633" xr:uid="{00000000-0005-0000-0000-0000712D0000}"/>
    <cellStyle name="Normal 11 3 2 2 2" xfId="11634" xr:uid="{00000000-0005-0000-0000-0000722D0000}"/>
    <cellStyle name="Normal 11 3 2 3" xfId="11635" xr:uid="{00000000-0005-0000-0000-0000732D0000}"/>
    <cellStyle name="Normal 11 3 3" xfId="11636" xr:uid="{00000000-0005-0000-0000-0000742D0000}"/>
    <cellStyle name="Normal 11 3 3 2" xfId="11637" xr:uid="{00000000-0005-0000-0000-0000752D0000}"/>
    <cellStyle name="Normal 11 3 3 2 2" xfId="11638" xr:uid="{00000000-0005-0000-0000-0000762D0000}"/>
    <cellStyle name="Normal 11 3 3 3" xfId="11639" xr:uid="{00000000-0005-0000-0000-0000772D0000}"/>
    <cellStyle name="Normal 11 3 4" xfId="11640" xr:uid="{00000000-0005-0000-0000-0000782D0000}"/>
    <cellStyle name="Normal 11 4" xfId="11641" xr:uid="{00000000-0005-0000-0000-0000792D0000}"/>
    <cellStyle name="Normal 11 4 2" xfId="11642" xr:uid="{00000000-0005-0000-0000-00007A2D0000}"/>
    <cellStyle name="Normal 11 5" xfId="11643" xr:uid="{00000000-0005-0000-0000-00007B2D0000}"/>
    <cellStyle name="Normal 11 5 2" xfId="11644" xr:uid="{00000000-0005-0000-0000-00007C2D0000}"/>
    <cellStyle name="Normal 11 5 2 2" xfId="11645" xr:uid="{00000000-0005-0000-0000-00007D2D0000}"/>
    <cellStyle name="Normal 11 5 3" xfId="11646" xr:uid="{00000000-0005-0000-0000-00007E2D0000}"/>
    <cellStyle name="Normal 11 6" xfId="11647" xr:uid="{00000000-0005-0000-0000-00007F2D0000}"/>
    <cellStyle name="Normal 11 6 2" xfId="11648" xr:uid="{00000000-0005-0000-0000-0000802D0000}"/>
    <cellStyle name="Normal 11 6 2 2" xfId="11649" xr:uid="{00000000-0005-0000-0000-0000812D0000}"/>
    <cellStyle name="Normal 11 6 3" xfId="11650" xr:uid="{00000000-0005-0000-0000-0000822D0000}"/>
    <cellStyle name="Normal 11 7" xfId="11651" xr:uid="{00000000-0005-0000-0000-0000832D0000}"/>
    <cellStyle name="Normal 11 7 2" xfId="11652" xr:uid="{00000000-0005-0000-0000-0000842D0000}"/>
    <cellStyle name="Normal 11 8" xfId="11653" xr:uid="{00000000-0005-0000-0000-0000852D0000}"/>
    <cellStyle name="Normal 11 9" xfId="11654" xr:uid="{00000000-0005-0000-0000-0000862D0000}"/>
    <cellStyle name="Normal 110" xfId="11655" xr:uid="{00000000-0005-0000-0000-0000872D0000}"/>
    <cellStyle name="Normal 110 2" xfId="11656" xr:uid="{00000000-0005-0000-0000-0000882D0000}"/>
    <cellStyle name="Normal 110 2 2" xfId="11657" xr:uid="{00000000-0005-0000-0000-0000892D0000}"/>
    <cellStyle name="Normal 110 2 2 2" xfId="11658" xr:uid="{00000000-0005-0000-0000-00008A2D0000}"/>
    <cellStyle name="Normal 110 2 3" xfId="11659" xr:uid="{00000000-0005-0000-0000-00008B2D0000}"/>
    <cellStyle name="Normal 110 3" xfId="11660" xr:uid="{00000000-0005-0000-0000-00008C2D0000}"/>
    <cellStyle name="Normal 110 3 2" xfId="11661" xr:uid="{00000000-0005-0000-0000-00008D2D0000}"/>
    <cellStyle name="Normal 110 3 2 2" xfId="11662" xr:uid="{00000000-0005-0000-0000-00008E2D0000}"/>
    <cellStyle name="Normal 110 3 3" xfId="11663" xr:uid="{00000000-0005-0000-0000-00008F2D0000}"/>
    <cellStyle name="Normal 110 3 3 2" xfId="11664" xr:uid="{00000000-0005-0000-0000-0000902D0000}"/>
    <cellStyle name="Normal 110 3 3 2 2" xfId="11665" xr:uid="{00000000-0005-0000-0000-0000912D0000}"/>
    <cellStyle name="Normal 110 3 3 3" xfId="11666" xr:uid="{00000000-0005-0000-0000-0000922D0000}"/>
    <cellStyle name="Normal 110 3 4" xfId="11667" xr:uid="{00000000-0005-0000-0000-0000932D0000}"/>
    <cellStyle name="Normal 110 4" xfId="11668" xr:uid="{00000000-0005-0000-0000-0000942D0000}"/>
    <cellStyle name="Normal 110 4 2" xfId="11669" xr:uid="{00000000-0005-0000-0000-0000952D0000}"/>
    <cellStyle name="Normal 110 4 2 2" xfId="11670" xr:uid="{00000000-0005-0000-0000-0000962D0000}"/>
    <cellStyle name="Normal 110 4 3" xfId="11671" xr:uid="{00000000-0005-0000-0000-0000972D0000}"/>
    <cellStyle name="Normal 110 5" xfId="11672" xr:uid="{00000000-0005-0000-0000-0000982D0000}"/>
    <cellStyle name="Normal 111" xfId="11673" xr:uid="{00000000-0005-0000-0000-0000992D0000}"/>
    <cellStyle name="Normal 111 2" xfId="11674" xr:uid="{00000000-0005-0000-0000-00009A2D0000}"/>
    <cellStyle name="Normal 111 2 2" xfId="11675" xr:uid="{00000000-0005-0000-0000-00009B2D0000}"/>
    <cellStyle name="Normal 111 2 2 2" xfId="11676" xr:uid="{00000000-0005-0000-0000-00009C2D0000}"/>
    <cellStyle name="Normal 111 2 3" xfId="11677" xr:uid="{00000000-0005-0000-0000-00009D2D0000}"/>
    <cellStyle name="Normal 111 3" xfId="11678" xr:uid="{00000000-0005-0000-0000-00009E2D0000}"/>
    <cellStyle name="Normal 111 3 2" xfId="11679" xr:uid="{00000000-0005-0000-0000-00009F2D0000}"/>
    <cellStyle name="Normal 111 3 2 2" xfId="11680" xr:uid="{00000000-0005-0000-0000-0000A02D0000}"/>
    <cellStyle name="Normal 111 3 3" xfId="11681" xr:uid="{00000000-0005-0000-0000-0000A12D0000}"/>
    <cellStyle name="Normal 111 3 3 2" xfId="11682" xr:uid="{00000000-0005-0000-0000-0000A22D0000}"/>
    <cellStyle name="Normal 111 3 3 2 2" xfId="11683" xr:uid="{00000000-0005-0000-0000-0000A32D0000}"/>
    <cellStyle name="Normal 111 3 3 3" xfId="11684" xr:uid="{00000000-0005-0000-0000-0000A42D0000}"/>
    <cellStyle name="Normal 111 3 4" xfId="11685" xr:uid="{00000000-0005-0000-0000-0000A52D0000}"/>
    <cellStyle name="Normal 111 4" xfId="11686" xr:uid="{00000000-0005-0000-0000-0000A62D0000}"/>
    <cellStyle name="Normal 111 4 2" xfId="11687" xr:uid="{00000000-0005-0000-0000-0000A72D0000}"/>
    <cellStyle name="Normal 111 4 2 2" xfId="11688" xr:uid="{00000000-0005-0000-0000-0000A82D0000}"/>
    <cellStyle name="Normal 111 4 3" xfId="11689" xr:uid="{00000000-0005-0000-0000-0000A92D0000}"/>
    <cellStyle name="Normal 111 5" xfId="11690" xr:uid="{00000000-0005-0000-0000-0000AA2D0000}"/>
    <cellStyle name="Normal 112" xfId="11691" xr:uid="{00000000-0005-0000-0000-0000AB2D0000}"/>
    <cellStyle name="Normal 112 2" xfId="11692" xr:uid="{00000000-0005-0000-0000-0000AC2D0000}"/>
    <cellStyle name="Normal 112 2 2" xfId="11693" xr:uid="{00000000-0005-0000-0000-0000AD2D0000}"/>
    <cellStyle name="Normal 112 2 2 2" xfId="11694" xr:uid="{00000000-0005-0000-0000-0000AE2D0000}"/>
    <cellStyle name="Normal 112 2 3" xfId="11695" xr:uid="{00000000-0005-0000-0000-0000AF2D0000}"/>
    <cellStyle name="Normal 112 3" xfId="11696" xr:uid="{00000000-0005-0000-0000-0000B02D0000}"/>
    <cellStyle name="Normal 112 3 2" xfId="11697" xr:uid="{00000000-0005-0000-0000-0000B12D0000}"/>
    <cellStyle name="Normal 112 3 2 2" xfId="11698" xr:uid="{00000000-0005-0000-0000-0000B22D0000}"/>
    <cellStyle name="Normal 112 3 3" xfId="11699" xr:uid="{00000000-0005-0000-0000-0000B32D0000}"/>
    <cellStyle name="Normal 112 3 3 2" xfId="11700" xr:uid="{00000000-0005-0000-0000-0000B42D0000}"/>
    <cellStyle name="Normal 112 3 3 2 2" xfId="11701" xr:uid="{00000000-0005-0000-0000-0000B52D0000}"/>
    <cellStyle name="Normal 112 3 3 3" xfId="11702" xr:uid="{00000000-0005-0000-0000-0000B62D0000}"/>
    <cellStyle name="Normal 112 3 4" xfId="11703" xr:uid="{00000000-0005-0000-0000-0000B72D0000}"/>
    <cellStyle name="Normal 112 4" xfId="11704" xr:uid="{00000000-0005-0000-0000-0000B82D0000}"/>
    <cellStyle name="Normal 112 4 2" xfId="11705" xr:uid="{00000000-0005-0000-0000-0000B92D0000}"/>
    <cellStyle name="Normal 112 4 2 2" xfId="11706" xr:uid="{00000000-0005-0000-0000-0000BA2D0000}"/>
    <cellStyle name="Normal 112 4 3" xfId="11707" xr:uid="{00000000-0005-0000-0000-0000BB2D0000}"/>
    <cellStyle name="Normal 112 5" xfId="11708" xr:uid="{00000000-0005-0000-0000-0000BC2D0000}"/>
    <cellStyle name="Normal 113" xfId="11709" xr:uid="{00000000-0005-0000-0000-0000BD2D0000}"/>
    <cellStyle name="Normal 113 2" xfId="11710" xr:uid="{00000000-0005-0000-0000-0000BE2D0000}"/>
    <cellStyle name="Normal 113 2 2" xfId="11711" xr:uid="{00000000-0005-0000-0000-0000BF2D0000}"/>
    <cellStyle name="Normal 113 2 2 2" xfId="11712" xr:uid="{00000000-0005-0000-0000-0000C02D0000}"/>
    <cellStyle name="Normal 113 2 3" xfId="11713" xr:uid="{00000000-0005-0000-0000-0000C12D0000}"/>
    <cellStyle name="Normal 113 3" xfId="11714" xr:uid="{00000000-0005-0000-0000-0000C22D0000}"/>
    <cellStyle name="Normal 113 3 2" xfId="11715" xr:uid="{00000000-0005-0000-0000-0000C32D0000}"/>
    <cellStyle name="Normal 113 3 2 2" xfId="11716" xr:uid="{00000000-0005-0000-0000-0000C42D0000}"/>
    <cellStyle name="Normal 113 3 3" xfId="11717" xr:uid="{00000000-0005-0000-0000-0000C52D0000}"/>
    <cellStyle name="Normal 113 3 3 2" xfId="11718" xr:uid="{00000000-0005-0000-0000-0000C62D0000}"/>
    <cellStyle name="Normal 113 3 3 2 2" xfId="11719" xr:uid="{00000000-0005-0000-0000-0000C72D0000}"/>
    <cellStyle name="Normal 113 3 3 3" xfId="11720" xr:uid="{00000000-0005-0000-0000-0000C82D0000}"/>
    <cellStyle name="Normal 113 3 4" xfId="11721" xr:uid="{00000000-0005-0000-0000-0000C92D0000}"/>
    <cellStyle name="Normal 113 4" xfId="11722" xr:uid="{00000000-0005-0000-0000-0000CA2D0000}"/>
    <cellStyle name="Normal 113 4 2" xfId="11723" xr:uid="{00000000-0005-0000-0000-0000CB2D0000}"/>
    <cellStyle name="Normal 113 4 2 2" xfId="11724" xr:uid="{00000000-0005-0000-0000-0000CC2D0000}"/>
    <cellStyle name="Normal 113 4 3" xfId="11725" xr:uid="{00000000-0005-0000-0000-0000CD2D0000}"/>
    <cellStyle name="Normal 113 5" xfId="11726" xr:uid="{00000000-0005-0000-0000-0000CE2D0000}"/>
    <cellStyle name="Normal 114" xfId="11727" xr:uid="{00000000-0005-0000-0000-0000CF2D0000}"/>
    <cellStyle name="Normal 114 2" xfId="11728" xr:uid="{00000000-0005-0000-0000-0000D02D0000}"/>
    <cellStyle name="Normal 114 2 2" xfId="11729" xr:uid="{00000000-0005-0000-0000-0000D12D0000}"/>
    <cellStyle name="Normal 114 2 2 2" xfId="11730" xr:uid="{00000000-0005-0000-0000-0000D22D0000}"/>
    <cellStyle name="Normal 114 2 3" xfId="11731" xr:uid="{00000000-0005-0000-0000-0000D32D0000}"/>
    <cellStyle name="Normal 114 3" xfId="11732" xr:uid="{00000000-0005-0000-0000-0000D42D0000}"/>
    <cellStyle name="Normal 114 3 2" xfId="11733" xr:uid="{00000000-0005-0000-0000-0000D52D0000}"/>
    <cellStyle name="Normal 114 3 2 2" xfId="11734" xr:uid="{00000000-0005-0000-0000-0000D62D0000}"/>
    <cellStyle name="Normal 114 3 3" xfId="11735" xr:uid="{00000000-0005-0000-0000-0000D72D0000}"/>
    <cellStyle name="Normal 114 3 3 2" xfId="11736" xr:uid="{00000000-0005-0000-0000-0000D82D0000}"/>
    <cellStyle name="Normal 114 3 3 2 2" xfId="11737" xr:uid="{00000000-0005-0000-0000-0000D92D0000}"/>
    <cellStyle name="Normal 114 3 3 3" xfId="11738" xr:uid="{00000000-0005-0000-0000-0000DA2D0000}"/>
    <cellStyle name="Normal 114 3 4" xfId="11739" xr:uid="{00000000-0005-0000-0000-0000DB2D0000}"/>
    <cellStyle name="Normal 114 4" xfId="11740" xr:uid="{00000000-0005-0000-0000-0000DC2D0000}"/>
    <cellStyle name="Normal 114 4 2" xfId="11741" xr:uid="{00000000-0005-0000-0000-0000DD2D0000}"/>
    <cellStyle name="Normal 114 4 2 2" xfId="11742" xr:uid="{00000000-0005-0000-0000-0000DE2D0000}"/>
    <cellStyle name="Normal 114 4 3" xfId="11743" xr:uid="{00000000-0005-0000-0000-0000DF2D0000}"/>
    <cellStyle name="Normal 114 5" xfId="11744" xr:uid="{00000000-0005-0000-0000-0000E02D0000}"/>
    <cellStyle name="Normal 115" xfId="11745" xr:uid="{00000000-0005-0000-0000-0000E12D0000}"/>
    <cellStyle name="Normal 115 2" xfId="11746" xr:uid="{00000000-0005-0000-0000-0000E22D0000}"/>
    <cellStyle name="Normal 115 2 2" xfId="11747" xr:uid="{00000000-0005-0000-0000-0000E32D0000}"/>
    <cellStyle name="Normal 115 2 2 2" xfId="11748" xr:uid="{00000000-0005-0000-0000-0000E42D0000}"/>
    <cellStyle name="Normal 115 2 3" xfId="11749" xr:uid="{00000000-0005-0000-0000-0000E52D0000}"/>
    <cellStyle name="Normal 115 3" xfId="11750" xr:uid="{00000000-0005-0000-0000-0000E62D0000}"/>
    <cellStyle name="Normal 115 3 2" xfId="11751" xr:uid="{00000000-0005-0000-0000-0000E72D0000}"/>
    <cellStyle name="Normal 115 3 2 2" xfId="11752" xr:uid="{00000000-0005-0000-0000-0000E82D0000}"/>
    <cellStyle name="Normal 115 3 3" xfId="11753" xr:uid="{00000000-0005-0000-0000-0000E92D0000}"/>
    <cellStyle name="Normal 115 3 3 2" xfId="11754" xr:uid="{00000000-0005-0000-0000-0000EA2D0000}"/>
    <cellStyle name="Normal 115 3 3 2 2" xfId="11755" xr:uid="{00000000-0005-0000-0000-0000EB2D0000}"/>
    <cellStyle name="Normal 115 3 3 3" xfId="11756" xr:uid="{00000000-0005-0000-0000-0000EC2D0000}"/>
    <cellStyle name="Normal 115 3 4" xfId="11757" xr:uid="{00000000-0005-0000-0000-0000ED2D0000}"/>
    <cellStyle name="Normal 115 4" xfId="11758" xr:uid="{00000000-0005-0000-0000-0000EE2D0000}"/>
    <cellStyle name="Normal 115 4 2" xfId="11759" xr:uid="{00000000-0005-0000-0000-0000EF2D0000}"/>
    <cellStyle name="Normal 115 4 2 2" xfId="11760" xr:uid="{00000000-0005-0000-0000-0000F02D0000}"/>
    <cellStyle name="Normal 115 4 3" xfId="11761" xr:uid="{00000000-0005-0000-0000-0000F12D0000}"/>
    <cellStyle name="Normal 115 5" xfId="11762" xr:uid="{00000000-0005-0000-0000-0000F22D0000}"/>
    <cellStyle name="Normal 116" xfId="11763" xr:uid="{00000000-0005-0000-0000-0000F32D0000}"/>
    <cellStyle name="Normal 116 2" xfId="11764" xr:uid="{00000000-0005-0000-0000-0000F42D0000}"/>
    <cellStyle name="Normal 116 2 2" xfId="11765" xr:uid="{00000000-0005-0000-0000-0000F52D0000}"/>
    <cellStyle name="Normal 116 2 2 2" xfId="11766" xr:uid="{00000000-0005-0000-0000-0000F62D0000}"/>
    <cellStyle name="Normal 116 2 3" xfId="11767" xr:uid="{00000000-0005-0000-0000-0000F72D0000}"/>
    <cellStyle name="Normal 116 3" xfId="11768" xr:uid="{00000000-0005-0000-0000-0000F82D0000}"/>
    <cellStyle name="Normal 116 3 2" xfId="11769" xr:uid="{00000000-0005-0000-0000-0000F92D0000}"/>
    <cellStyle name="Normal 116 3 2 2" xfId="11770" xr:uid="{00000000-0005-0000-0000-0000FA2D0000}"/>
    <cellStyle name="Normal 116 3 3" xfId="11771" xr:uid="{00000000-0005-0000-0000-0000FB2D0000}"/>
    <cellStyle name="Normal 116 3 3 2" xfId="11772" xr:uid="{00000000-0005-0000-0000-0000FC2D0000}"/>
    <cellStyle name="Normal 116 3 3 2 2" xfId="11773" xr:uid="{00000000-0005-0000-0000-0000FD2D0000}"/>
    <cellStyle name="Normal 116 3 3 3" xfId="11774" xr:uid="{00000000-0005-0000-0000-0000FE2D0000}"/>
    <cellStyle name="Normal 116 3 4" xfId="11775" xr:uid="{00000000-0005-0000-0000-0000FF2D0000}"/>
    <cellStyle name="Normal 116 4" xfId="11776" xr:uid="{00000000-0005-0000-0000-0000002E0000}"/>
    <cellStyle name="Normal 116 4 2" xfId="11777" xr:uid="{00000000-0005-0000-0000-0000012E0000}"/>
    <cellStyle name="Normal 116 4 2 2" xfId="11778" xr:uid="{00000000-0005-0000-0000-0000022E0000}"/>
    <cellStyle name="Normal 116 4 3" xfId="11779" xr:uid="{00000000-0005-0000-0000-0000032E0000}"/>
    <cellStyle name="Normal 116 5" xfId="11780" xr:uid="{00000000-0005-0000-0000-0000042E0000}"/>
    <cellStyle name="Normal 117" xfId="11781" xr:uid="{00000000-0005-0000-0000-0000052E0000}"/>
    <cellStyle name="Normal 117 2" xfId="11782" xr:uid="{00000000-0005-0000-0000-0000062E0000}"/>
    <cellStyle name="Normal 117 2 2" xfId="11783" xr:uid="{00000000-0005-0000-0000-0000072E0000}"/>
    <cellStyle name="Normal 117 2 2 2" xfId="11784" xr:uid="{00000000-0005-0000-0000-0000082E0000}"/>
    <cellStyle name="Normal 117 2 3" xfId="11785" xr:uid="{00000000-0005-0000-0000-0000092E0000}"/>
    <cellStyle name="Normal 117 3" xfId="11786" xr:uid="{00000000-0005-0000-0000-00000A2E0000}"/>
    <cellStyle name="Normal 117 3 2" xfId="11787" xr:uid="{00000000-0005-0000-0000-00000B2E0000}"/>
    <cellStyle name="Normal 117 3 2 2" xfId="11788" xr:uid="{00000000-0005-0000-0000-00000C2E0000}"/>
    <cellStyle name="Normal 117 3 3" xfId="11789" xr:uid="{00000000-0005-0000-0000-00000D2E0000}"/>
    <cellStyle name="Normal 117 3 3 2" xfId="11790" xr:uid="{00000000-0005-0000-0000-00000E2E0000}"/>
    <cellStyle name="Normal 117 3 3 2 2" xfId="11791" xr:uid="{00000000-0005-0000-0000-00000F2E0000}"/>
    <cellStyle name="Normal 117 3 3 3" xfId="11792" xr:uid="{00000000-0005-0000-0000-0000102E0000}"/>
    <cellStyle name="Normal 117 3 4" xfId="11793" xr:uid="{00000000-0005-0000-0000-0000112E0000}"/>
    <cellStyle name="Normal 117 4" xfId="11794" xr:uid="{00000000-0005-0000-0000-0000122E0000}"/>
    <cellStyle name="Normal 117 4 2" xfId="11795" xr:uid="{00000000-0005-0000-0000-0000132E0000}"/>
    <cellStyle name="Normal 117 4 2 2" xfId="11796" xr:uid="{00000000-0005-0000-0000-0000142E0000}"/>
    <cellStyle name="Normal 117 4 3" xfId="11797" xr:uid="{00000000-0005-0000-0000-0000152E0000}"/>
    <cellStyle name="Normal 117 5" xfId="11798" xr:uid="{00000000-0005-0000-0000-0000162E0000}"/>
    <cellStyle name="Normal 118" xfId="11799" xr:uid="{00000000-0005-0000-0000-0000172E0000}"/>
    <cellStyle name="Normal 118 2" xfId="11800" xr:uid="{00000000-0005-0000-0000-0000182E0000}"/>
    <cellStyle name="Normal 118 2 2" xfId="11801" xr:uid="{00000000-0005-0000-0000-0000192E0000}"/>
    <cellStyle name="Normal 118 2 2 2" xfId="11802" xr:uid="{00000000-0005-0000-0000-00001A2E0000}"/>
    <cellStyle name="Normal 118 2 3" xfId="11803" xr:uid="{00000000-0005-0000-0000-00001B2E0000}"/>
    <cellStyle name="Normal 118 3" xfId="11804" xr:uid="{00000000-0005-0000-0000-00001C2E0000}"/>
    <cellStyle name="Normal 118 3 2" xfId="11805" xr:uid="{00000000-0005-0000-0000-00001D2E0000}"/>
    <cellStyle name="Normal 118 3 2 2" xfId="11806" xr:uid="{00000000-0005-0000-0000-00001E2E0000}"/>
    <cellStyle name="Normal 118 3 3" xfId="11807" xr:uid="{00000000-0005-0000-0000-00001F2E0000}"/>
    <cellStyle name="Normal 118 3 3 2" xfId="11808" xr:uid="{00000000-0005-0000-0000-0000202E0000}"/>
    <cellStyle name="Normal 118 3 3 2 2" xfId="11809" xr:uid="{00000000-0005-0000-0000-0000212E0000}"/>
    <cellStyle name="Normal 118 3 3 3" xfId="11810" xr:uid="{00000000-0005-0000-0000-0000222E0000}"/>
    <cellStyle name="Normal 118 3 4" xfId="11811" xr:uid="{00000000-0005-0000-0000-0000232E0000}"/>
    <cellStyle name="Normal 118 4" xfId="11812" xr:uid="{00000000-0005-0000-0000-0000242E0000}"/>
    <cellStyle name="Normal 118 4 2" xfId="11813" xr:uid="{00000000-0005-0000-0000-0000252E0000}"/>
    <cellStyle name="Normal 118 4 2 2" xfId="11814" xr:uid="{00000000-0005-0000-0000-0000262E0000}"/>
    <cellStyle name="Normal 118 4 3" xfId="11815" xr:uid="{00000000-0005-0000-0000-0000272E0000}"/>
    <cellStyle name="Normal 118 5" xfId="11816" xr:uid="{00000000-0005-0000-0000-0000282E0000}"/>
    <cellStyle name="Normal 119" xfId="11817" xr:uid="{00000000-0005-0000-0000-0000292E0000}"/>
    <cellStyle name="Normal 119 2" xfId="11818" xr:uid="{00000000-0005-0000-0000-00002A2E0000}"/>
    <cellStyle name="Normal 119 2 2" xfId="11819" xr:uid="{00000000-0005-0000-0000-00002B2E0000}"/>
    <cellStyle name="Normal 119 2 2 2" xfId="11820" xr:uid="{00000000-0005-0000-0000-00002C2E0000}"/>
    <cellStyle name="Normal 119 2 2 2 2" xfId="11821" xr:uid="{00000000-0005-0000-0000-00002D2E0000}"/>
    <cellStyle name="Normal 119 2 2 3" xfId="11822" xr:uid="{00000000-0005-0000-0000-00002E2E0000}"/>
    <cellStyle name="Normal 119 2 3" xfId="11823" xr:uid="{00000000-0005-0000-0000-00002F2E0000}"/>
    <cellStyle name="Normal 119 2 3 2" xfId="11824" xr:uid="{00000000-0005-0000-0000-0000302E0000}"/>
    <cellStyle name="Normal 119 2 3 2 2" xfId="11825" xr:uid="{00000000-0005-0000-0000-0000312E0000}"/>
    <cellStyle name="Normal 119 2 3 3" xfId="11826" xr:uid="{00000000-0005-0000-0000-0000322E0000}"/>
    <cellStyle name="Normal 119 2 3 3 2" xfId="11827" xr:uid="{00000000-0005-0000-0000-0000332E0000}"/>
    <cellStyle name="Normal 119 2 3 3 2 2" xfId="11828" xr:uid="{00000000-0005-0000-0000-0000342E0000}"/>
    <cellStyle name="Normal 119 2 3 3 3" xfId="11829" xr:uid="{00000000-0005-0000-0000-0000352E0000}"/>
    <cellStyle name="Normal 119 2 3 4" xfId="11830" xr:uid="{00000000-0005-0000-0000-0000362E0000}"/>
    <cellStyle name="Normal 119 2 4" xfId="11831" xr:uid="{00000000-0005-0000-0000-0000372E0000}"/>
    <cellStyle name="Normal 119 2 4 2" xfId="11832" xr:uid="{00000000-0005-0000-0000-0000382E0000}"/>
    <cellStyle name="Normal 119 2 4 2 2" xfId="11833" xr:uid="{00000000-0005-0000-0000-0000392E0000}"/>
    <cellStyle name="Normal 119 2 4 3" xfId="11834" xr:uid="{00000000-0005-0000-0000-00003A2E0000}"/>
    <cellStyle name="Normal 119 2 5" xfId="11835" xr:uid="{00000000-0005-0000-0000-00003B2E0000}"/>
    <cellStyle name="Normal 119 3" xfId="11836" xr:uid="{00000000-0005-0000-0000-00003C2E0000}"/>
    <cellStyle name="Normal 119 3 2" xfId="11837" xr:uid="{00000000-0005-0000-0000-00003D2E0000}"/>
    <cellStyle name="Normal 119 3 2 2" xfId="11838" xr:uid="{00000000-0005-0000-0000-00003E2E0000}"/>
    <cellStyle name="Normal 119 3 3" xfId="11839" xr:uid="{00000000-0005-0000-0000-00003F2E0000}"/>
    <cellStyle name="Normal 119 4" xfId="11840" xr:uid="{00000000-0005-0000-0000-0000402E0000}"/>
    <cellStyle name="Normal 119 4 2" xfId="11841" xr:uid="{00000000-0005-0000-0000-0000412E0000}"/>
    <cellStyle name="Normal 119 4 2 2" xfId="11842" xr:uid="{00000000-0005-0000-0000-0000422E0000}"/>
    <cellStyle name="Normal 119 4 3" xfId="11843" xr:uid="{00000000-0005-0000-0000-0000432E0000}"/>
    <cellStyle name="Normal 119 4 3 2" xfId="11844" xr:uid="{00000000-0005-0000-0000-0000442E0000}"/>
    <cellStyle name="Normal 119 4 3 2 2" xfId="11845" xr:uid="{00000000-0005-0000-0000-0000452E0000}"/>
    <cellStyle name="Normal 119 4 3 3" xfId="11846" xr:uid="{00000000-0005-0000-0000-0000462E0000}"/>
    <cellStyle name="Normal 119 4 4" xfId="11847" xr:uid="{00000000-0005-0000-0000-0000472E0000}"/>
    <cellStyle name="Normal 119 5" xfId="11848" xr:uid="{00000000-0005-0000-0000-0000482E0000}"/>
    <cellStyle name="Normal 119 5 2" xfId="11849" xr:uid="{00000000-0005-0000-0000-0000492E0000}"/>
    <cellStyle name="Normal 119 5 2 2" xfId="11850" xr:uid="{00000000-0005-0000-0000-00004A2E0000}"/>
    <cellStyle name="Normal 119 5 3" xfId="11851" xr:uid="{00000000-0005-0000-0000-00004B2E0000}"/>
    <cellStyle name="Normal 119 6" xfId="11852" xr:uid="{00000000-0005-0000-0000-00004C2E0000}"/>
    <cellStyle name="Normal 12" xfId="60" xr:uid="{00000000-0005-0000-0000-00003C000000}"/>
    <cellStyle name="Normal 12 2" xfId="11853" xr:uid="{00000000-0005-0000-0000-00004D2E0000}"/>
    <cellStyle name="Normal 12 2 2" xfId="11854" xr:uid="{00000000-0005-0000-0000-00004E2E0000}"/>
    <cellStyle name="Normal 12 2 2 2" xfId="11855" xr:uid="{00000000-0005-0000-0000-00004F2E0000}"/>
    <cellStyle name="Normal 12 2 3" xfId="11856" xr:uid="{00000000-0005-0000-0000-0000502E0000}"/>
    <cellStyle name="Normal 12 2 3 2" xfId="11857" xr:uid="{00000000-0005-0000-0000-0000512E0000}"/>
    <cellStyle name="Normal 12 2 3 2 2" xfId="11858" xr:uid="{00000000-0005-0000-0000-0000522E0000}"/>
    <cellStyle name="Normal 12 2 3 3" xfId="11859" xr:uid="{00000000-0005-0000-0000-0000532E0000}"/>
    <cellStyle name="Normal 12 2 4" xfId="11860" xr:uid="{00000000-0005-0000-0000-0000542E0000}"/>
    <cellStyle name="Normal 12 3" xfId="11861" xr:uid="{00000000-0005-0000-0000-0000552E0000}"/>
    <cellStyle name="Normal 12 3 2" xfId="11862" xr:uid="{00000000-0005-0000-0000-0000562E0000}"/>
    <cellStyle name="Normal 12 3 2 2" xfId="11863" xr:uid="{00000000-0005-0000-0000-0000572E0000}"/>
    <cellStyle name="Normal 12 3 2 2 2" xfId="11864" xr:uid="{00000000-0005-0000-0000-0000582E0000}"/>
    <cellStyle name="Normal 12 3 2 3" xfId="11865" xr:uid="{00000000-0005-0000-0000-0000592E0000}"/>
    <cellStyle name="Normal 12 3 3" xfId="11866" xr:uid="{00000000-0005-0000-0000-00005A2E0000}"/>
    <cellStyle name="Normal 12 3 3 2" xfId="11867" xr:uid="{00000000-0005-0000-0000-00005B2E0000}"/>
    <cellStyle name="Normal 12 3 3 2 2" xfId="11868" xr:uid="{00000000-0005-0000-0000-00005C2E0000}"/>
    <cellStyle name="Normal 12 3 3 3" xfId="11869" xr:uid="{00000000-0005-0000-0000-00005D2E0000}"/>
    <cellStyle name="Normal 12 3 4" xfId="11870" xr:uid="{00000000-0005-0000-0000-00005E2E0000}"/>
    <cellStyle name="Normal 12 4" xfId="11871" xr:uid="{00000000-0005-0000-0000-00005F2E0000}"/>
    <cellStyle name="Normal 12 4 2" xfId="11872" xr:uid="{00000000-0005-0000-0000-0000602E0000}"/>
    <cellStyle name="Normal 12 5" xfId="11873" xr:uid="{00000000-0005-0000-0000-0000612E0000}"/>
    <cellStyle name="Normal 12 5 2" xfId="11874" xr:uid="{00000000-0005-0000-0000-0000622E0000}"/>
    <cellStyle name="Normal 12 5 2 2" xfId="11875" xr:uid="{00000000-0005-0000-0000-0000632E0000}"/>
    <cellStyle name="Normal 12 5 3" xfId="11876" xr:uid="{00000000-0005-0000-0000-0000642E0000}"/>
    <cellStyle name="Normal 12 6" xfId="11877" xr:uid="{00000000-0005-0000-0000-0000652E0000}"/>
    <cellStyle name="Normal 12 6 2" xfId="11878" xr:uid="{00000000-0005-0000-0000-0000662E0000}"/>
    <cellStyle name="Normal 12 6 2 2" xfId="11879" xr:uid="{00000000-0005-0000-0000-0000672E0000}"/>
    <cellStyle name="Normal 12 6 3" xfId="11880" xr:uid="{00000000-0005-0000-0000-0000682E0000}"/>
    <cellStyle name="Normal 12 7" xfId="11881" xr:uid="{00000000-0005-0000-0000-0000692E0000}"/>
    <cellStyle name="Normal 12 7 2" xfId="11882" xr:uid="{00000000-0005-0000-0000-00006A2E0000}"/>
    <cellStyle name="Normal 12 8" xfId="11883" xr:uid="{00000000-0005-0000-0000-00006B2E0000}"/>
    <cellStyle name="Normal 12 9" xfId="11884" xr:uid="{00000000-0005-0000-0000-00006C2E0000}"/>
    <cellStyle name="Normal 120" xfId="11885" xr:uid="{00000000-0005-0000-0000-00006D2E0000}"/>
    <cellStyle name="Normal 120 2" xfId="11886" xr:uid="{00000000-0005-0000-0000-00006E2E0000}"/>
    <cellStyle name="Normal 120 2 2" xfId="11887" xr:uid="{00000000-0005-0000-0000-00006F2E0000}"/>
    <cellStyle name="Normal 120 2 2 2" xfId="11888" xr:uid="{00000000-0005-0000-0000-0000702E0000}"/>
    <cellStyle name="Normal 120 2 2 2 2" xfId="11889" xr:uid="{00000000-0005-0000-0000-0000712E0000}"/>
    <cellStyle name="Normal 120 2 2 3" xfId="11890" xr:uid="{00000000-0005-0000-0000-0000722E0000}"/>
    <cellStyle name="Normal 120 2 3" xfId="11891" xr:uid="{00000000-0005-0000-0000-0000732E0000}"/>
    <cellStyle name="Normal 120 2 3 2" xfId="11892" xr:uid="{00000000-0005-0000-0000-0000742E0000}"/>
    <cellStyle name="Normal 120 2 3 2 2" xfId="11893" xr:uid="{00000000-0005-0000-0000-0000752E0000}"/>
    <cellStyle name="Normal 120 2 3 3" xfId="11894" xr:uid="{00000000-0005-0000-0000-0000762E0000}"/>
    <cellStyle name="Normal 120 2 3 3 2" xfId="11895" xr:uid="{00000000-0005-0000-0000-0000772E0000}"/>
    <cellStyle name="Normal 120 2 3 3 2 2" xfId="11896" xr:uid="{00000000-0005-0000-0000-0000782E0000}"/>
    <cellStyle name="Normal 120 2 3 3 3" xfId="11897" xr:uid="{00000000-0005-0000-0000-0000792E0000}"/>
    <cellStyle name="Normal 120 2 3 4" xfId="11898" xr:uid="{00000000-0005-0000-0000-00007A2E0000}"/>
    <cellStyle name="Normal 120 2 4" xfId="11899" xr:uid="{00000000-0005-0000-0000-00007B2E0000}"/>
    <cellStyle name="Normal 120 2 4 2" xfId="11900" xr:uid="{00000000-0005-0000-0000-00007C2E0000}"/>
    <cellStyle name="Normal 120 2 4 2 2" xfId="11901" xr:uid="{00000000-0005-0000-0000-00007D2E0000}"/>
    <cellStyle name="Normal 120 2 4 3" xfId="11902" xr:uid="{00000000-0005-0000-0000-00007E2E0000}"/>
    <cellStyle name="Normal 120 2 5" xfId="11903" xr:uid="{00000000-0005-0000-0000-00007F2E0000}"/>
    <cellStyle name="Normal 120 3" xfId="11904" xr:uid="{00000000-0005-0000-0000-0000802E0000}"/>
    <cellStyle name="Normal 120 3 2" xfId="11905" xr:uid="{00000000-0005-0000-0000-0000812E0000}"/>
    <cellStyle name="Normal 120 3 2 2" xfId="11906" xr:uid="{00000000-0005-0000-0000-0000822E0000}"/>
    <cellStyle name="Normal 120 3 3" xfId="11907" xr:uid="{00000000-0005-0000-0000-0000832E0000}"/>
    <cellStyle name="Normal 120 4" xfId="11908" xr:uid="{00000000-0005-0000-0000-0000842E0000}"/>
    <cellStyle name="Normal 120 4 2" xfId="11909" xr:uid="{00000000-0005-0000-0000-0000852E0000}"/>
    <cellStyle name="Normal 120 4 2 2" xfId="11910" xr:uid="{00000000-0005-0000-0000-0000862E0000}"/>
    <cellStyle name="Normal 120 4 3" xfId="11911" xr:uid="{00000000-0005-0000-0000-0000872E0000}"/>
    <cellStyle name="Normal 120 4 3 2" xfId="11912" xr:uid="{00000000-0005-0000-0000-0000882E0000}"/>
    <cellStyle name="Normal 120 4 3 2 2" xfId="11913" xr:uid="{00000000-0005-0000-0000-0000892E0000}"/>
    <cellStyle name="Normal 120 4 3 3" xfId="11914" xr:uid="{00000000-0005-0000-0000-00008A2E0000}"/>
    <cellStyle name="Normal 120 4 4" xfId="11915" xr:uid="{00000000-0005-0000-0000-00008B2E0000}"/>
    <cellStyle name="Normal 120 5" xfId="11916" xr:uid="{00000000-0005-0000-0000-00008C2E0000}"/>
    <cellStyle name="Normal 120 5 2" xfId="11917" xr:uid="{00000000-0005-0000-0000-00008D2E0000}"/>
    <cellStyle name="Normal 120 5 2 2" xfId="11918" xr:uid="{00000000-0005-0000-0000-00008E2E0000}"/>
    <cellStyle name="Normal 120 5 3" xfId="11919" xr:uid="{00000000-0005-0000-0000-00008F2E0000}"/>
    <cellStyle name="Normal 120 6" xfId="11920" xr:uid="{00000000-0005-0000-0000-0000902E0000}"/>
    <cellStyle name="Normal 121" xfId="11921" xr:uid="{00000000-0005-0000-0000-0000912E0000}"/>
    <cellStyle name="Normal 121 2" xfId="11922" xr:uid="{00000000-0005-0000-0000-0000922E0000}"/>
    <cellStyle name="Normal 121 2 2" xfId="11923" xr:uid="{00000000-0005-0000-0000-0000932E0000}"/>
    <cellStyle name="Normal 121 2 2 2" xfId="11924" xr:uid="{00000000-0005-0000-0000-0000942E0000}"/>
    <cellStyle name="Normal 121 2 2 2 2" xfId="11925" xr:uid="{00000000-0005-0000-0000-0000952E0000}"/>
    <cellStyle name="Normal 121 2 2 3" xfId="11926" xr:uid="{00000000-0005-0000-0000-0000962E0000}"/>
    <cellStyle name="Normal 121 2 3" xfId="11927" xr:uid="{00000000-0005-0000-0000-0000972E0000}"/>
    <cellStyle name="Normal 121 2 3 2" xfId="11928" xr:uid="{00000000-0005-0000-0000-0000982E0000}"/>
    <cellStyle name="Normal 121 2 3 2 2" xfId="11929" xr:uid="{00000000-0005-0000-0000-0000992E0000}"/>
    <cellStyle name="Normal 121 2 3 3" xfId="11930" xr:uid="{00000000-0005-0000-0000-00009A2E0000}"/>
    <cellStyle name="Normal 121 2 3 3 2" xfId="11931" xr:uid="{00000000-0005-0000-0000-00009B2E0000}"/>
    <cellStyle name="Normal 121 2 3 3 2 2" xfId="11932" xr:uid="{00000000-0005-0000-0000-00009C2E0000}"/>
    <cellStyle name="Normal 121 2 3 3 3" xfId="11933" xr:uid="{00000000-0005-0000-0000-00009D2E0000}"/>
    <cellStyle name="Normal 121 2 3 4" xfId="11934" xr:uid="{00000000-0005-0000-0000-00009E2E0000}"/>
    <cellStyle name="Normal 121 2 4" xfId="11935" xr:uid="{00000000-0005-0000-0000-00009F2E0000}"/>
    <cellStyle name="Normal 121 2 4 2" xfId="11936" xr:uid="{00000000-0005-0000-0000-0000A02E0000}"/>
    <cellStyle name="Normal 121 2 4 2 2" xfId="11937" xr:uid="{00000000-0005-0000-0000-0000A12E0000}"/>
    <cellStyle name="Normal 121 2 4 3" xfId="11938" xr:uid="{00000000-0005-0000-0000-0000A22E0000}"/>
    <cellStyle name="Normal 121 2 5" xfId="11939" xr:uid="{00000000-0005-0000-0000-0000A32E0000}"/>
    <cellStyle name="Normal 121 3" xfId="11940" xr:uid="{00000000-0005-0000-0000-0000A42E0000}"/>
    <cellStyle name="Normal 121 3 2" xfId="11941" xr:uid="{00000000-0005-0000-0000-0000A52E0000}"/>
    <cellStyle name="Normal 121 3 2 2" xfId="11942" xr:uid="{00000000-0005-0000-0000-0000A62E0000}"/>
    <cellStyle name="Normal 121 3 3" xfId="11943" xr:uid="{00000000-0005-0000-0000-0000A72E0000}"/>
    <cellStyle name="Normal 121 4" xfId="11944" xr:uid="{00000000-0005-0000-0000-0000A82E0000}"/>
    <cellStyle name="Normal 121 4 2" xfId="11945" xr:uid="{00000000-0005-0000-0000-0000A92E0000}"/>
    <cellStyle name="Normal 121 4 2 2" xfId="11946" xr:uid="{00000000-0005-0000-0000-0000AA2E0000}"/>
    <cellStyle name="Normal 121 4 3" xfId="11947" xr:uid="{00000000-0005-0000-0000-0000AB2E0000}"/>
    <cellStyle name="Normal 121 4 3 2" xfId="11948" xr:uid="{00000000-0005-0000-0000-0000AC2E0000}"/>
    <cellStyle name="Normal 121 4 3 2 2" xfId="11949" xr:uid="{00000000-0005-0000-0000-0000AD2E0000}"/>
    <cellStyle name="Normal 121 4 3 3" xfId="11950" xr:uid="{00000000-0005-0000-0000-0000AE2E0000}"/>
    <cellStyle name="Normal 121 4 4" xfId="11951" xr:uid="{00000000-0005-0000-0000-0000AF2E0000}"/>
    <cellStyle name="Normal 121 5" xfId="11952" xr:uid="{00000000-0005-0000-0000-0000B02E0000}"/>
    <cellStyle name="Normal 121 5 2" xfId="11953" xr:uid="{00000000-0005-0000-0000-0000B12E0000}"/>
    <cellStyle name="Normal 121 5 2 2" xfId="11954" xr:uid="{00000000-0005-0000-0000-0000B22E0000}"/>
    <cellStyle name="Normal 121 5 3" xfId="11955" xr:uid="{00000000-0005-0000-0000-0000B32E0000}"/>
    <cellStyle name="Normal 121 6" xfId="11956" xr:uid="{00000000-0005-0000-0000-0000B42E0000}"/>
    <cellStyle name="Normal 122" xfId="11957" xr:uid="{00000000-0005-0000-0000-0000B52E0000}"/>
    <cellStyle name="Normal 122 2" xfId="11958" xr:uid="{00000000-0005-0000-0000-0000B62E0000}"/>
    <cellStyle name="Normal 122 2 2" xfId="11959" xr:uid="{00000000-0005-0000-0000-0000B72E0000}"/>
    <cellStyle name="Normal 122 2 2 2" xfId="11960" xr:uid="{00000000-0005-0000-0000-0000B82E0000}"/>
    <cellStyle name="Normal 122 2 3" xfId="11961" xr:uid="{00000000-0005-0000-0000-0000B92E0000}"/>
    <cellStyle name="Normal 122 3" xfId="11962" xr:uid="{00000000-0005-0000-0000-0000BA2E0000}"/>
    <cellStyle name="Normal 122 3 2" xfId="11963" xr:uid="{00000000-0005-0000-0000-0000BB2E0000}"/>
    <cellStyle name="Normal 122 3 2 2" xfId="11964" xr:uid="{00000000-0005-0000-0000-0000BC2E0000}"/>
    <cellStyle name="Normal 122 3 3" xfId="11965" xr:uid="{00000000-0005-0000-0000-0000BD2E0000}"/>
    <cellStyle name="Normal 122 3 3 2" xfId="11966" xr:uid="{00000000-0005-0000-0000-0000BE2E0000}"/>
    <cellStyle name="Normal 122 3 3 2 2" xfId="11967" xr:uid="{00000000-0005-0000-0000-0000BF2E0000}"/>
    <cellStyle name="Normal 122 3 3 3" xfId="11968" xr:uid="{00000000-0005-0000-0000-0000C02E0000}"/>
    <cellStyle name="Normal 122 3 4" xfId="11969" xr:uid="{00000000-0005-0000-0000-0000C12E0000}"/>
    <cellStyle name="Normal 122 4" xfId="11970" xr:uid="{00000000-0005-0000-0000-0000C22E0000}"/>
    <cellStyle name="Normal 122 4 2" xfId="11971" xr:uid="{00000000-0005-0000-0000-0000C32E0000}"/>
    <cellStyle name="Normal 122 4 2 2" xfId="11972" xr:uid="{00000000-0005-0000-0000-0000C42E0000}"/>
    <cellStyle name="Normal 122 4 3" xfId="11973" xr:uid="{00000000-0005-0000-0000-0000C52E0000}"/>
    <cellStyle name="Normal 122 5" xfId="11974" xr:uid="{00000000-0005-0000-0000-0000C62E0000}"/>
    <cellStyle name="Normal 123" xfId="11975" xr:uid="{00000000-0005-0000-0000-0000C72E0000}"/>
    <cellStyle name="Normal 123 2" xfId="11976" xr:uid="{00000000-0005-0000-0000-0000C82E0000}"/>
    <cellStyle name="Normal 123 2 2" xfId="11977" xr:uid="{00000000-0005-0000-0000-0000C92E0000}"/>
    <cellStyle name="Normal 123 2 2 2" xfId="11978" xr:uid="{00000000-0005-0000-0000-0000CA2E0000}"/>
    <cellStyle name="Normal 123 2 3" xfId="11979" xr:uid="{00000000-0005-0000-0000-0000CB2E0000}"/>
    <cellStyle name="Normal 123 3" xfId="11980" xr:uid="{00000000-0005-0000-0000-0000CC2E0000}"/>
    <cellStyle name="Normal 123 3 2" xfId="11981" xr:uid="{00000000-0005-0000-0000-0000CD2E0000}"/>
    <cellStyle name="Normal 123 3 2 2" xfId="11982" xr:uid="{00000000-0005-0000-0000-0000CE2E0000}"/>
    <cellStyle name="Normal 123 3 3" xfId="11983" xr:uid="{00000000-0005-0000-0000-0000CF2E0000}"/>
    <cellStyle name="Normal 123 3 3 2" xfId="11984" xr:uid="{00000000-0005-0000-0000-0000D02E0000}"/>
    <cellStyle name="Normal 123 3 3 2 2" xfId="11985" xr:uid="{00000000-0005-0000-0000-0000D12E0000}"/>
    <cellStyle name="Normal 123 3 3 3" xfId="11986" xr:uid="{00000000-0005-0000-0000-0000D22E0000}"/>
    <cellStyle name="Normal 123 3 4" xfId="11987" xr:uid="{00000000-0005-0000-0000-0000D32E0000}"/>
    <cellStyle name="Normal 123 4" xfId="11988" xr:uid="{00000000-0005-0000-0000-0000D42E0000}"/>
    <cellStyle name="Normal 123 4 2" xfId="11989" xr:uid="{00000000-0005-0000-0000-0000D52E0000}"/>
    <cellStyle name="Normal 123 4 2 2" xfId="11990" xr:uid="{00000000-0005-0000-0000-0000D62E0000}"/>
    <cellStyle name="Normal 123 4 3" xfId="11991" xr:uid="{00000000-0005-0000-0000-0000D72E0000}"/>
    <cellStyle name="Normal 123 5" xfId="11992" xr:uid="{00000000-0005-0000-0000-0000D82E0000}"/>
    <cellStyle name="Normal 124" xfId="11993" xr:uid="{00000000-0005-0000-0000-0000D92E0000}"/>
    <cellStyle name="Normal 124 2" xfId="11994" xr:uid="{00000000-0005-0000-0000-0000DA2E0000}"/>
    <cellStyle name="Normal 124 2 2" xfId="11995" xr:uid="{00000000-0005-0000-0000-0000DB2E0000}"/>
    <cellStyle name="Normal 124 2 2 2" xfId="11996" xr:uid="{00000000-0005-0000-0000-0000DC2E0000}"/>
    <cellStyle name="Normal 124 2 3" xfId="11997" xr:uid="{00000000-0005-0000-0000-0000DD2E0000}"/>
    <cellStyle name="Normal 124 3" xfId="11998" xr:uid="{00000000-0005-0000-0000-0000DE2E0000}"/>
    <cellStyle name="Normal 124 3 2" xfId="11999" xr:uid="{00000000-0005-0000-0000-0000DF2E0000}"/>
    <cellStyle name="Normal 124 3 2 2" xfId="12000" xr:uid="{00000000-0005-0000-0000-0000E02E0000}"/>
    <cellStyle name="Normal 124 3 3" xfId="12001" xr:uid="{00000000-0005-0000-0000-0000E12E0000}"/>
    <cellStyle name="Normal 124 3 3 2" xfId="12002" xr:uid="{00000000-0005-0000-0000-0000E22E0000}"/>
    <cellStyle name="Normal 124 3 3 2 2" xfId="12003" xr:uid="{00000000-0005-0000-0000-0000E32E0000}"/>
    <cellStyle name="Normal 124 3 3 3" xfId="12004" xr:uid="{00000000-0005-0000-0000-0000E42E0000}"/>
    <cellStyle name="Normal 124 3 4" xfId="12005" xr:uid="{00000000-0005-0000-0000-0000E52E0000}"/>
    <cellStyle name="Normal 124 4" xfId="12006" xr:uid="{00000000-0005-0000-0000-0000E62E0000}"/>
    <cellStyle name="Normal 124 4 2" xfId="12007" xr:uid="{00000000-0005-0000-0000-0000E72E0000}"/>
    <cellStyle name="Normal 124 4 2 2" xfId="12008" xr:uid="{00000000-0005-0000-0000-0000E82E0000}"/>
    <cellStyle name="Normal 124 4 3" xfId="12009" xr:uid="{00000000-0005-0000-0000-0000E92E0000}"/>
    <cellStyle name="Normal 124 5" xfId="12010" xr:uid="{00000000-0005-0000-0000-0000EA2E0000}"/>
    <cellStyle name="Normal 125" xfId="12011" xr:uid="{00000000-0005-0000-0000-0000EB2E0000}"/>
    <cellStyle name="Normal 125 2" xfId="12012" xr:uid="{00000000-0005-0000-0000-0000EC2E0000}"/>
    <cellStyle name="Normal 125 2 2" xfId="12013" xr:uid="{00000000-0005-0000-0000-0000ED2E0000}"/>
    <cellStyle name="Normal 125 2 2 2" xfId="12014" xr:uid="{00000000-0005-0000-0000-0000EE2E0000}"/>
    <cellStyle name="Normal 125 2 3" xfId="12015" xr:uid="{00000000-0005-0000-0000-0000EF2E0000}"/>
    <cellStyle name="Normal 125 3" xfId="12016" xr:uid="{00000000-0005-0000-0000-0000F02E0000}"/>
    <cellStyle name="Normal 125 3 2" xfId="12017" xr:uid="{00000000-0005-0000-0000-0000F12E0000}"/>
    <cellStyle name="Normal 125 3 2 2" xfId="12018" xr:uid="{00000000-0005-0000-0000-0000F22E0000}"/>
    <cellStyle name="Normal 125 3 3" xfId="12019" xr:uid="{00000000-0005-0000-0000-0000F32E0000}"/>
    <cellStyle name="Normal 125 3 3 2" xfId="12020" xr:uid="{00000000-0005-0000-0000-0000F42E0000}"/>
    <cellStyle name="Normal 125 3 3 2 2" xfId="12021" xr:uid="{00000000-0005-0000-0000-0000F52E0000}"/>
    <cellStyle name="Normal 125 3 3 3" xfId="12022" xr:uid="{00000000-0005-0000-0000-0000F62E0000}"/>
    <cellStyle name="Normal 125 3 4" xfId="12023" xr:uid="{00000000-0005-0000-0000-0000F72E0000}"/>
    <cellStyle name="Normal 125 4" xfId="12024" xr:uid="{00000000-0005-0000-0000-0000F82E0000}"/>
    <cellStyle name="Normal 125 4 2" xfId="12025" xr:uid="{00000000-0005-0000-0000-0000F92E0000}"/>
    <cellStyle name="Normal 125 4 2 2" xfId="12026" xr:uid="{00000000-0005-0000-0000-0000FA2E0000}"/>
    <cellStyle name="Normal 125 4 3" xfId="12027" xr:uid="{00000000-0005-0000-0000-0000FB2E0000}"/>
    <cellStyle name="Normal 125 5" xfId="12028" xr:uid="{00000000-0005-0000-0000-0000FC2E0000}"/>
    <cellStyle name="Normal 126" xfId="12029" xr:uid="{00000000-0005-0000-0000-0000FD2E0000}"/>
    <cellStyle name="Normal 126 2" xfId="12030" xr:uid="{00000000-0005-0000-0000-0000FE2E0000}"/>
    <cellStyle name="Normal 126 2 2" xfId="12031" xr:uid="{00000000-0005-0000-0000-0000FF2E0000}"/>
    <cellStyle name="Normal 126 2 2 2" xfId="12032" xr:uid="{00000000-0005-0000-0000-0000002F0000}"/>
    <cellStyle name="Normal 126 2 3" xfId="12033" xr:uid="{00000000-0005-0000-0000-0000012F0000}"/>
    <cellStyle name="Normal 126 3" xfId="12034" xr:uid="{00000000-0005-0000-0000-0000022F0000}"/>
    <cellStyle name="Normal 126 3 2" xfId="12035" xr:uid="{00000000-0005-0000-0000-0000032F0000}"/>
    <cellStyle name="Normal 126 3 2 2" xfId="12036" xr:uid="{00000000-0005-0000-0000-0000042F0000}"/>
    <cellStyle name="Normal 126 3 3" xfId="12037" xr:uid="{00000000-0005-0000-0000-0000052F0000}"/>
    <cellStyle name="Normal 126 3 3 2" xfId="12038" xr:uid="{00000000-0005-0000-0000-0000062F0000}"/>
    <cellStyle name="Normal 126 3 3 2 2" xfId="12039" xr:uid="{00000000-0005-0000-0000-0000072F0000}"/>
    <cellStyle name="Normal 126 3 3 3" xfId="12040" xr:uid="{00000000-0005-0000-0000-0000082F0000}"/>
    <cellStyle name="Normal 126 3 4" xfId="12041" xr:uid="{00000000-0005-0000-0000-0000092F0000}"/>
    <cellStyle name="Normal 126 4" xfId="12042" xr:uid="{00000000-0005-0000-0000-00000A2F0000}"/>
    <cellStyle name="Normal 126 4 2" xfId="12043" xr:uid="{00000000-0005-0000-0000-00000B2F0000}"/>
    <cellStyle name="Normal 126 4 2 2" xfId="12044" xr:uid="{00000000-0005-0000-0000-00000C2F0000}"/>
    <cellStyle name="Normal 126 4 3" xfId="12045" xr:uid="{00000000-0005-0000-0000-00000D2F0000}"/>
    <cellStyle name="Normal 126 5" xfId="12046" xr:uid="{00000000-0005-0000-0000-00000E2F0000}"/>
    <cellStyle name="Normal 127" xfId="12047" xr:uid="{00000000-0005-0000-0000-00000F2F0000}"/>
    <cellStyle name="Normal 127 2" xfId="12048" xr:uid="{00000000-0005-0000-0000-0000102F0000}"/>
    <cellStyle name="Normal 127 2 2" xfId="12049" xr:uid="{00000000-0005-0000-0000-0000112F0000}"/>
    <cellStyle name="Normal 127 2 2 2" xfId="12050" xr:uid="{00000000-0005-0000-0000-0000122F0000}"/>
    <cellStyle name="Normal 127 2 3" xfId="12051" xr:uid="{00000000-0005-0000-0000-0000132F0000}"/>
    <cellStyle name="Normal 127 3" xfId="12052" xr:uid="{00000000-0005-0000-0000-0000142F0000}"/>
    <cellStyle name="Normal 127 3 2" xfId="12053" xr:uid="{00000000-0005-0000-0000-0000152F0000}"/>
    <cellStyle name="Normal 127 3 2 2" xfId="12054" xr:uid="{00000000-0005-0000-0000-0000162F0000}"/>
    <cellStyle name="Normal 127 3 3" xfId="12055" xr:uid="{00000000-0005-0000-0000-0000172F0000}"/>
    <cellStyle name="Normal 127 3 3 2" xfId="12056" xr:uid="{00000000-0005-0000-0000-0000182F0000}"/>
    <cellStyle name="Normal 127 3 3 2 2" xfId="12057" xr:uid="{00000000-0005-0000-0000-0000192F0000}"/>
    <cellStyle name="Normal 127 3 3 3" xfId="12058" xr:uid="{00000000-0005-0000-0000-00001A2F0000}"/>
    <cellStyle name="Normal 127 3 4" xfId="12059" xr:uid="{00000000-0005-0000-0000-00001B2F0000}"/>
    <cellStyle name="Normal 127 4" xfId="12060" xr:uid="{00000000-0005-0000-0000-00001C2F0000}"/>
    <cellStyle name="Normal 127 4 2" xfId="12061" xr:uid="{00000000-0005-0000-0000-00001D2F0000}"/>
    <cellStyle name="Normal 127 4 2 2" xfId="12062" xr:uid="{00000000-0005-0000-0000-00001E2F0000}"/>
    <cellStyle name="Normal 127 4 3" xfId="12063" xr:uid="{00000000-0005-0000-0000-00001F2F0000}"/>
    <cellStyle name="Normal 127 5" xfId="12064" xr:uid="{00000000-0005-0000-0000-0000202F0000}"/>
    <cellStyle name="Normal 128" xfId="12065" xr:uid="{00000000-0005-0000-0000-0000212F0000}"/>
    <cellStyle name="Normal 128 2" xfId="12066" xr:uid="{00000000-0005-0000-0000-0000222F0000}"/>
    <cellStyle name="Normal 128 2 2" xfId="12067" xr:uid="{00000000-0005-0000-0000-0000232F0000}"/>
    <cellStyle name="Normal 128 2 2 2" xfId="12068" xr:uid="{00000000-0005-0000-0000-0000242F0000}"/>
    <cellStyle name="Normal 128 2 3" xfId="12069" xr:uid="{00000000-0005-0000-0000-0000252F0000}"/>
    <cellStyle name="Normal 128 3" xfId="12070" xr:uid="{00000000-0005-0000-0000-0000262F0000}"/>
    <cellStyle name="Normal 128 3 2" xfId="12071" xr:uid="{00000000-0005-0000-0000-0000272F0000}"/>
    <cellStyle name="Normal 128 3 2 2" xfId="12072" xr:uid="{00000000-0005-0000-0000-0000282F0000}"/>
    <cellStyle name="Normal 128 3 3" xfId="12073" xr:uid="{00000000-0005-0000-0000-0000292F0000}"/>
    <cellStyle name="Normal 128 3 3 2" xfId="12074" xr:uid="{00000000-0005-0000-0000-00002A2F0000}"/>
    <cellStyle name="Normal 128 3 3 2 2" xfId="12075" xr:uid="{00000000-0005-0000-0000-00002B2F0000}"/>
    <cellStyle name="Normal 128 3 3 3" xfId="12076" xr:uid="{00000000-0005-0000-0000-00002C2F0000}"/>
    <cellStyle name="Normal 128 3 4" xfId="12077" xr:uid="{00000000-0005-0000-0000-00002D2F0000}"/>
    <cellStyle name="Normal 128 4" xfId="12078" xr:uid="{00000000-0005-0000-0000-00002E2F0000}"/>
    <cellStyle name="Normal 128 4 2" xfId="12079" xr:uid="{00000000-0005-0000-0000-00002F2F0000}"/>
    <cellStyle name="Normal 128 4 2 2" xfId="12080" xr:uid="{00000000-0005-0000-0000-0000302F0000}"/>
    <cellStyle name="Normal 128 4 3" xfId="12081" xr:uid="{00000000-0005-0000-0000-0000312F0000}"/>
    <cellStyle name="Normal 128 5" xfId="12082" xr:uid="{00000000-0005-0000-0000-0000322F0000}"/>
    <cellStyle name="Normal 129" xfId="12083" xr:uid="{00000000-0005-0000-0000-0000332F0000}"/>
    <cellStyle name="Normal 129 2" xfId="12084" xr:uid="{00000000-0005-0000-0000-0000342F0000}"/>
    <cellStyle name="Normal 129 2 2" xfId="12085" xr:uid="{00000000-0005-0000-0000-0000352F0000}"/>
    <cellStyle name="Normal 129 2 2 2" xfId="12086" xr:uid="{00000000-0005-0000-0000-0000362F0000}"/>
    <cellStyle name="Normal 129 2 3" xfId="12087" xr:uid="{00000000-0005-0000-0000-0000372F0000}"/>
    <cellStyle name="Normal 129 3" xfId="12088" xr:uid="{00000000-0005-0000-0000-0000382F0000}"/>
    <cellStyle name="Normal 129 3 2" xfId="12089" xr:uid="{00000000-0005-0000-0000-0000392F0000}"/>
    <cellStyle name="Normal 129 3 2 2" xfId="12090" xr:uid="{00000000-0005-0000-0000-00003A2F0000}"/>
    <cellStyle name="Normal 129 3 3" xfId="12091" xr:uid="{00000000-0005-0000-0000-00003B2F0000}"/>
    <cellStyle name="Normal 129 3 3 2" xfId="12092" xr:uid="{00000000-0005-0000-0000-00003C2F0000}"/>
    <cellStyle name="Normal 129 3 3 2 2" xfId="12093" xr:uid="{00000000-0005-0000-0000-00003D2F0000}"/>
    <cellStyle name="Normal 129 3 3 3" xfId="12094" xr:uid="{00000000-0005-0000-0000-00003E2F0000}"/>
    <cellStyle name="Normal 129 3 4" xfId="12095" xr:uid="{00000000-0005-0000-0000-00003F2F0000}"/>
    <cellStyle name="Normal 129 4" xfId="12096" xr:uid="{00000000-0005-0000-0000-0000402F0000}"/>
    <cellStyle name="Normal 129 4 2" xfId="12097" xr:uid="{00000000-0005-0000-0000-0000412F0000}"/>
    <cellStyle name="Normal 129 4 2 2" xfId="12098" xr:uid="{00000000-0005-0000-0000-0000422F0000}"/>
    <cellStyle name="Normal 129 4 3" xfId="12099" xr:uid="{00000000-0005-0000-0000-0000432F0000}"/>
    <cellStyle name="Normal 129 5" xfId="12100" xr:uid="{00000000-0005-0000-0000-0000442F0000}"/>
    <cellStyle name="Normal 13" xfId="61" xr:uid="{00000000-0005-0000-0000-00003D000000}"/>
    <cellStyle name="Normal 13 2" xfId="12101" xr:uid="{00000000-0005-0000-0000-0000452F0000}"/>
    <cellStyle name="Normal 13 2 2" xfId="12102" xr:uid="{00000000-0005-0000-0000-0000462F0000}"/>
    <cellStyle name="Normal 13 2 2 2" xfId="12103" xr:uid="{00000000-0005-0000-0000-0000472F0000}"/>
    <cellStyle name="Normal 13 2 3" xfId="12104" xr:uid="{00000000-0005-0000-0000-0000482F0000}"/>
    <cellStyle name="Normal 13 2 3 2" xfId="12105" xr:uid="{00000000-0005-0000-0000-0000492F0000}"/>
    <cellStyle name="Normal 13 2 3 2 2" xfId="12106" xr:uid="{00000000-0005-0000-0000-00004A2F0000}"/>
    <cellStyle name="Normal 13 2 3 3" xfId="12107" xr:uid="{00000000-0005-0000-0000-00004B2F0000}"/>
    <cellStyle name="Normal 13 2 4" xfId="12108" xr:uid="{00000000-0005-0000-0000-00004C2F0000}"/>
    <cellStyle name="Normal 13 3" xfId="12109" xr:uid="{00000000-0005-0000-0000-00004D2F0000}"/>
    <cellStyle name="Normal 13 3 2" xfId="12110" xr:uid="{00000000-0005-0000-0000-00004E2F0000}"/>
    <cellStyle name="Normal 13 3 2 2" xfId="12111" xr:uid="{00000000-0005-0000-0000-00004F2F0000}"/>
    <cellStyle name="Normal 13 3 2 2 2" xfId="12112" xr:uid="{00000000-0005-0000-0000-0000502F0000}"/>
    <cellStyle name="Normal 13 3 2 3" xfId="12113" xr:uid="{00000000-0005-0000-0000-0000512F0000}"/>
    <cellStyle name="Normal 13 3 3" xfId="12114" xr:uid="{00000000-0005-0000-0000-0000522F0000}"/>
    <cellStyle name="Normal 13 3 3 2" xfId="12115" xr:uid="{00000000-0005-0000-0000-0000532F0000}"/>
    <cellStyle name="Normal 13 3 3 2 2" xfId="12116" xr:uid="{00000000-0005-0000-0000-0000542F0000}"/>
    <cellStyle name="Normal 13 3 3 3" xfId="12117" xr:uid="{00000000-0005-0000-0000-0000552F0000}"/>
    <cellStyle name="Normal 13 3 4" xfId="12118" xr:uid="{00000000-0005-0000-0000-0000562F0000}"/>
    <cellStyle name="Normal 13 4" xfId="12119" xr:uid="{00000000-0005-0000-0000-0000572F0000}"/>
    <cellStyle name="Normal 13 4 2" xfId="12120" xr:uid="{00000000-0005-0000-0000-0000582F0000}"/>
    <cellStyle name="Normal 13 5" xfId="12121" xr:uid="{00000000-0005-0000-0000-0000592F0000}"/>
    <cellStyle name="Normal 13 5 2" xfId="12122" xr:uid="{00000000-0005-0000-0000-00005A2F0000}"/>
    <cellStyle name="Normal 13 5 2 2" xfId="12123" xr:uid="{00000000-0005-0000-0000-00005B2F0000}"/>
    <cellStyle name="Normal 13 5 3" xfId="12124" xr:uid="{00000000-0005-0000-0000-00005C2F0000}"/>
    <cellStyle name="Normal 13 6" xfId="12125" xr:uid="{00000000-0005-0000-0000-00005D2F0000}"/>
    <cellStyle name="Normal 13 6 2" xfId="12126" xr:uid="{00000000-0005-0000-0000-00005E2F0000}"/>
    <cellStyle name="Normal 13 6 2 2" xfId="12127" xr:uid="{00000000-0005-0000-0000-00005F2F0000}"/>
    <cellStyle name="Normal 13 6 3" xfId="12128" xr:uid="{00000000-0005-0000-0000-0000602F0000}"/>
    <cellStyle name="Normal 13 7" xfId="12129" xr:uid="{00000000-0005-0000-0000-0000612F0000}"/>
    <cellStyle name="Normal 13 7 2" xfId="12130" xr:uid="{00000000-0005-0000-0000-0000622F0000}"/>
    <cellStyle name="Normal 13 8" xfId="12131" xr:uid="{00000000-0005-0000-0000-0000632F0000}"/>
    <cellStyle name="Normal 13 9" xfId="12132" xr:uid="{00000000-0005-0000-0000-0000642F0000}"/>
    <cellStyle name="Normal 130" xfId="12133" xr:uid="{00000000-0005-0000-0000-0000652F0000}"/>
    <cellStyle name="Normal 130 2" xfId="12134" xr:uid="{00000000-0005-0000-0000-0000662F0000}"/>
    <cellStyle name="Normal 130 2 2" xfId="12135" xr:uid="{00000000-0005-0000-0000-0000672F0000}"/>
    <cellStyle name="Normal 130 2 2 2" xfId="12136" xr:uid="{00000000-0005-0000-0000-0000682F0000}"/>
    <cellStyle name="Normal 130 2 3" xfId="12137" xr:uid="{00000000-0005-0000-0000-0000692F0000}"/>
    <cellStyle name="Normal 130 3" xfId="12138" xr:uid="{00000000-0005-0000-0000-00006A2F0000}"/>
    <cellStyle name="Normal 130 3 2" xfId="12139" xr:uid="{00000000-0005-0000-0000-00006B2F0000}"/>
    <cellStyle name="Normal 130 3 2 2" xfId="12140" xr:uid="{00000000-0005-0000-0000-00006C2F0000}"/>
    <cellStyle name="Normal 130 3 3" xfId="12141" xr:uid="{00000000-0005-0000-0000-00006D2F0000}"/>
    <cellStyle name="Normal 130 3 3 2" xfId="12142" xr:uid="{00000000-0005-0000-0000-00006E2F0000}"/>
    <cellStyle name="Normal 130 3 3 2 2" xfId="12143" xr:uid="{00000000-0005-0000-0000-00006F2F0000}"/>
    <cellStyle name="Normal 130 3 3 3" xfId="12144" xr:uid="{00000000-0005-0000-0000-0000702F0000}"/>
    <cellStyle name="Normal 130 3 4" xfId="12145" xr:uid="{00000000-0005-0000-0000-0000712F0000}"/>
    <cellStyle name="Normal 130 4" xfId="12146" xr:uid="{00000000-0005-0000-0000-0000722F0000}"/>
    <cellStyle name="Normal 130 4 2" xfId="12147" xr:uid="{00000000-0005-0000-0000-0000732F0000}"/>
    <cellStyle name="Normal 130 4 2 2" xfId="12148" xr:uid="{00000000-0005-0000-0000-0000742F0000}"/>
    <cellStyle name="Normal 130 4 3" xfId="12149" xr:uid="{00000000-0005-0000-0000-0000752F0000}"/>
    <cellStyle name="Normal 130 5" xfId="12150" xr:uid="{00000000-0005-0000-0000-0000762F0000}"/>
    <cellStyle name="Normal 131" xfId="12151" xr:uid="{00000000-0005-0000-0000-0000772F0000}"/>
    <cellStyle name="Normal 131 2" xfId="12152" xr:uid="{00000000-0005-0000-0000-0000782F0000}"/>
    <cellStyle name="Normal 131 2 2" xfId="12153" xr:uid="{00000000-0005-0000-0000-0000792F0000}"/>
    <cellStyle name="Normal 131 2 2 2" xfId="12154" xr:uid="{00000000-0005-0000-0000-00007A2F0000}"/>
    <cellStyle name="Normal 131 2 3" xfId="12155" xr:uid="{00000000-0005-0000-0000-00007B2F0000}"/>
    <cellStyle name="Normal 131 3" xfId="12156" xr:uid="{00000000-0005-0000-0000-00007C2F0000}"/>
    <cellStyle name="Normal 131 3 2" xfId="12157" xr:uid="{00000000-0005-0000-0000-00007D2F0000}"/>
    <cellStyle name="Normal 131 3 2 2" xfId="12158" xr:uid="{00000000-0005-0000-0000-00007E2F0000}"/>
    <cellStyle name="Normal 131 3 3" xfId="12159" xr:uid="{00000000-0005-0000-0000-00007F2F0000}"/>
    <cellStyle name="Normal 131 3 3 2" xfId="12160" xr:uid="{00000000-0005-0000-0000-0000802F0000}"/>
    <cellStyle name="Normal 131 3 3 2 2" xfId="12161" xr:uid="{00000000-0005-0000-0000-0000812F0000}"/>
    <cellStyle name="Normal 131 3 3 3" xfId="12162" xr:uid="{00000000-0005-0000-0000-0000822F0000}"/>
    <cellStyle name="Normal 131 3 4" xfId="12163" xr:uid="{00000000-0005-0000-0000-0000832F0000}"/>
    <cellStyle name="Normal 131 4" xfId="12164" xr:uid="{00000000-0005-0000-0000-0000842F0000}"/>
    <cellStyle name="Normal 131 4 2" xfId="12165" xr:uid="{00000000-0005-0000-0000-0000852F0000}"/>
    <cellStyle name="Normal 131 4 2 2" xfId="12166" xr:uid="{00000000-0005-0000-0000-0000862F0000}"/>
    <cellStyle name="Normal 131 4 3" xfId="12167" xr:uid="{00000000-0005-0000-0000-0000872F0000}"/>
    <cellStyle name="Normal 131 5" xfId="12168" xr:uid="{00000000-0005-0000-0000-0000882F0000}"/>
    <cellStyle name="Normal 132" xfId="12169" xr:uid="{00000000-0005-0000-0000-0000892F0000}"/>
    <cellStyle name="Normal 132 2" xfId="12170" xr:uid="{00000000-0005-0000-0000-00008A2F0000}"/>
    <cellStyle name="Normal 132 2 2" xfId="12171" xr:uid="{00000000-0005-0000-0000-00008B2F0000}"/>
    <cellStyle name="Normal 132 2 2 2" xfId="12172" xr:uid="{00000000-0005-0000-0000-00008C2F0000}"/>
    <cellStyle name="Normal 132 2 3" xfId="12173" xr:uid="{00000000-0005-0000-0000-00008D2F0000}"/>
    <cellStyle name="Normal 132 3" xfId="12174" xr:uid="{00000000-0005-0000-0000-00008E2F0000}"/>
    <cellStyle name="Normal 132 3 2" xfId="12175" xr:uid="{00000000-0005-0000-0000-00008F2F0000}"/>
    <cellStyle name="Normal 132 3 2 2" xfId="12176" xr:uid="{00000000-0005-0000-0000-0000902F0000}"/>
    <cellStyle name="Normal 132 3 3" xfId="12177" xr:uid="{00000000-0005-0000-0000-0000912F0000}"/>
    <cellStyle name="Normal 132 3 3 2" xfId="12178" xr:uid="{00000000-0005-0000-0000-0000922F0000}"/>
    <cellStyle name="Normal 132 3 3 2 2" xfId="12179" xr:uid="{00000000-0005-0000-0000-0000932F0000}"/>
    <cellStyle name="Normal 132 3 3 3" xfId="12180" xr:uid="{00000000-0005-0000-0000-0000942F0000}"/>
    <cellStyle name="Normal 132 3 4" xfId="12181" xr:uid="{00000000-0005-0000-0000-0000952F0000}"/>
    <cellStyle name="Normal 132 4" xfId="12182" xr:uid="{00000000-0005-0000-0000-0000962F0000}"/>
    <cellStyle name="Normal 132 4 2" xfId="12183" xr:uid="{00000000-0005-0000-0000-0000972F0000}"/>
    <cellStyle name="Normal 132 4 2 2" xfId="12184" xr:uid="{00000000-0005-0000-0000-0000982F0000}"/>
    <cellStyle name="Normal 132 4 3" xfId="12185" xr:uid="{00000000-0005-0000-0000-0000992F0000}"/>
    <cellStyle name="Normal 132 5" xfId="12186" xr:uid="{00000000-0005-0000-0000-00009A2F0000}"/>
    <cellStyle name="Normal 133" xfId="12187" xr:uid="{00000000-0005-0000-0000-00009B2F0000}"/>
    <cellStyle name="Normal 133 2" xfId="12188" xr:uid="{00000000-0005-0000-0000-00009C2F0000}"/>
    <cellStyle name="Normal 133 2 2" xfId="12189" xr:uid="{00000000-0005-0000-0000-00009D2F0000}"/>
    <cellStyle name="Normal 133 2 2 2" xfId="12190" xr:uid="{00000000-0005-0000-0000-00009E2F0000}"/>
    <cellStyle name="Normal 133 2 3" xfId="12191" xr:uid="{00000000-0005-0000-0000-00009F2F0000}"/>
    <cellStyle name="Normal 133 3" xfId="12192" xr:uid="{00000000-0005-0000-0000-0000A02F0000}"/>
    <cellStyle name="Normal 133 3 2" xfId="12193" xr:uid="{00000000-0005-0000-0000-0000A12F0000}"/>
    <cellStyle name="Normal 133 3 2 2" xfId="12194" xr:uid="{00000000-0005-0000-0000-0000A22F0000}"/>
    <cellStyle name="Normal 133 3 3" xfId="12195" xr:uid="{00000000-0005-0000-0000-0000A32F0000}"/>
    <cellStyle name="Normal 133 3 3 2" xfId="12196" xr:uid="{00000000-0005-0000-0000-0000A42F0000}"/>
    <cellStyle name="Normal 133 3 3 2 2" xfId="12197" xr:uid="{00000000-0005-0000-0000-0000A52F0000}"/>
    <cellStyle name="Normal 133 3 3 3" xfId="12198" xr:uid="{00000000-0005-0000-0000-0000A62F0000}"/>
    <cellStyle name="Normal 133 3 4" xfId="12199" xr:uid="{00000000-0005-0000-0000-0000A72F0000}"/>
    <cellStyle name="Normal 133 4" xfId="12200" xr:uid="{00000000-0005-0000-0000-0000A82F0000}"/>
    <cellStyle name="Normal 133 4 2" xfId="12201" xr:uid="{00000000-0005-0000-0000-0000A92F0000}"/>
    <cellStyle name="Normal 133 4 2 2" xfId="12202" xr:uid="{00000000-0005-0000-0000-0000AA2F0000}"/>
    <cellStyle name="Normal 133 4 3" xfId="12203" xr:uid="{00000000-0005-0000-0000-0000AB2F0000}"/>
    <cellStyle name="Normal 133 5" xfId="12204" xr:uid="{00000000-0005-0000-0000-0000AC2F0000}"/>
    <cellStyle name="Normal 134" xfId="12205" xr:uid="{00000000-0005-0000-0000-0000AD2F0000}"/>
    <cellStyle name="Normal 134 2" xfId="12206" xr:uid="{00000000-0005-0000-0000-0000AE2F0000}"/>
    <cellStyle name="Normal 134 2 2" xfId="12207" xr:uid="{00000000-0005-0000-0000-0000AF2F0000}"/>
    <cellStyle name="Normal 134 2 2 2" xfId="12208" xr:uid="{00000000-0005-0000-0000-0000B02F0000}"/>
    <cellStyle name="Normal 134 2 3" xfId="12209" xr:uid="{00000000-0005-0000-0000-0000B12F0000}"/>
    <cellStyle name="Normal 134 3" xfId="12210" xr:uid="{00000000-0005-0000-0000-0000B22F0000}"/>
    <cellStyle name="Normal 134 3 2" xfId="12211" xr:uid="{00000000-0005-0000-0000-0000B32F0000}"/>
    <cellStyle name="Normal 134 3 2 2" xfId="12212" xr:uid="{00000000-0005-0000-0000-0000B42F0000}"/>
    <cellStyle name="Normal 134 3 3" xfId="12213" xr:uid="{00000000-0005-0000-0000-0000B52F0000}"/>
    <cellStyle name="Normal 134 3 3 2" xfId="12214" xr:uid="{00000000-0005-0000-0000-0000B62F0000}"/>
    <cellStyle name="Normal 134 3 3 2 2" xfId="12215" xr:uid="{00000000-0005-0000-0000-0000B72F0000}"/>
    <cellStyle name="Normal 134 3 3 3" xfId="12216" xr:uid="{00000000-0005-0000-0000-0000B82F0000}"/>
    <cellStyle name="Normal 134 3 4" xfId="12217" xr:uid="{00000000-0005-0000-0000-0000B92F0000}"/>
    <cellStyle name="Normal 134 4" xfId="12218" xr:uid="{00000000-0005-0000-0000-0000BA2F0000}"/>
    <cellStyle name="Normal 134 4 2" xfId="12219" xr:uid="{00000000-0005-0000-0000-0000BB2F0000}"/>
    <cellStyle name="Normal 134 4 2 2" xfId="12220" xr:uid="{00000000-0005-0000-0000-0000BC2F0000}"/>
    <cellStyle name="Normal 134 4 3" xfId="12221" xr:uid="{00000000-0005-0000-0000-0000BD2F0000}"/>
    <cellStyle name="Normal 134 5" xfId="12222" xr:uid="{00000000-0005-0000-0000-0000BE2F0000}"/>
    <cellStyle name="Normal 135" xfId="12223" xr:uid="{00000000-0005-0000-0000-0000BF2F0000}"/>
    <cellStyle name="Normal 135 2" xfId="12224" xr:uid="{00000000-0005-0000-0000-0000C02F0000}"/>
    <cellStyle name="Normal 135 2 2" xfId="12225" xr:uid="{00000000-0005-0000-0000-0000C12F0000}"/>
    <cellStyle name="Normal 135 2 2 2" xfId="12226" xr:uid="{00000000-0005-0000-0000-0000C22F0000}"/>
    <cellStyle name="Normal 135 2 3" xfId="12227" xr:uid="{00000000-0005-0000-0000-0000C32F0000}"/>
    <cellStyle name="Normal 135 3" xfId="12228" xr:uid="{00000000-0005-0000-0000-0000C42F0000}"/>
    <cellStyle name="Normal 135 3 2" xfId="12229" xr:uid="{00000000-0005-0000-0000-0000C52F0000}"/>
    <cellStyle name="Normal 135 3 2 2" xfId="12230" xr:uid="{00000000-0005-0000-0000-0000C62F0000}"/>
    <cellStyle name="Normal 135 3 3" xfId="12231" xr:uid="{00000000-0005-0000-0000-0000C72F0000}"/>
    <cellStyle name="Normal 135 3 3 2" xfId="12232" xr:uid="{00000000-0005-0000-0000-0000C82F0000}"/>
    <cellStyle name="Normal 135 3 3 2 2" xfId="12233" xr:uid="{00000000-0005-0000-0000-0000C92F0000}"/>
    <cellStyle name="Normal 135 3 3 3" xfId="12234" xr:uid="{00000000-0005-0000-0000-0000CA2F0000}"/>
    <cellStyle name="Normal 135 3 4" xfId="12235" xr:uid="{00000000-0005-0000-0000-0000CB2F0000}"/>
    <cellStyle name="Normal 135 4" xfId="12236" xr:uid="{00000000-0005-0000-0000-0000CC2F0000}"/>
    <cellStyle name="Normal 135 4 2" xfId="12237" xr:uid="{00000000-0005-0000-0000-0000CD2F0000}"/>
    <cellStyle name="Normal 135 4 2 2" xfId="12238" xr:uid="{00000000-0005-0000-0000-0000CE2F0000}"/>
    <cellStyle name="Normal 135 4 3" xfId="12239" xr:uid="{00000000-0005-0000-0000-0000CF2F0000}"/>
    <cellStyle name="Normal 135 5" xfId="12240" xr:uid="{00000000-0005-0000-0000-0000D02F0000}"/>
    <cellStyle name="Normal 136" xfId="12241" xr:uid="{00000000-0005-0000-0000-0000D12F0000}"/>
    <cellStyle name="Normal 136 2" xfId="12242" xr:uid="{00000000-0005-0000-0000-0000D22F0000}"/>
    <cellStyle name="Normal 136 2 2" xfId="12243" xr:uid="{00000000-0005-0000-0000-0000D32F0000}"/>
    <cellStyle name="Normal 136 2 2 2" xfId="12244" xr:uid="{00000000-0005-0000-0000-0000D42F0000}"/>
    <cellStyle name="Normal 136 2 3" xfId="12245" xr:uid="{00000000-0005-0000-0000-0000D52F0000}"/>
    <cellStyle name="Normal 136 2 3 2" xfId="12246" xr:uid="{00000000-0005-0000-0000-0000D62F0000}"/>
    <cellStyle name="Normal 136 2 3 2 2" xfId="12247" xr:uid="{00000000-0005-0000-0000-0000D72F0000}"/>
    <cellStyle name="Normal 136 2 3 3" xfId="12248" xr:uid="{00000000-0005-0000-0000-0000D82F0000}"/>
    <cellStyle name="Normal 136 2 4" xfId="12249" xr:uid="{00000000-0005-0000-0000-0000D92F0000}"/>
    <cellStyle name="Normal 136 2 4 2" xfId="12250" xr:uid="{00000000-0005-0000-0000-0000DA2F0000}"/>
    <cellStyle name="Normal 136 2 4 2 2" xfId="12251" xr:uid="{00000000-0005-0000-0000-0000DB2F0000}"/>
    <cellStyle name="Normal 136 2 4 3" xfId="12252" xr:uid="{00000000-0005-0000-0000-0000DC2F0000}"/>
    <cellStyle name="Normal 136 2 5" xfId="12253" xr:uid="{00000000-0005-0000-0000-0000DD2F0000}"/>
    <cellStyle name="Normal 136 3" xfId="12254" xr:uid="{00000000-0005-0000-0000-0000DE2F0000}"/>
    <cellStyle name="Normal 136 3 2" xfId="12255" xr:uid="{00000000-0005-0000-0000-0000DF2F0000}"/>
    <cellStyle name="Normal 136 3 2 2" xfId="12256" xr:uid="{00000000-0005-0000-0000-0000E02F0000}"/>
    <cellStyle name="Normal 136 3 2 2 2" xfId="12257" xr:uid="{00000000-0005-0000-0000-0000E12F0000}"/>
    <cellStyle name="Normal 136 3 2 3" xfId="12258" xr:uid="{00000000-0005-0000-0000-0000E22F0000}"/>
    <cellStyle name="Normal 136 3 2 3 2" xfId="12259" xr:uid="{00000000-0005-0000-0000-0000E32F0000}"/>
    <cellStyle name="Normal 136 3 2 3 2 2" xfId="12260" xr:uid="{00000000-0005-0000-0000-0000E42F0000}"/>
    <cellStyle name="Normal 136 3 2 3 3" xfId="12261" xr:uid="{00000000-0005-0000-0000-0000E52F0000}"/>
    <cellStyle name="Normal 136 3 2 4" xfId="12262" xr:uid="{00000000-0005-0000-0000-0000E62F0000}"/>
    <cellStyle name="Normal 136 3 3" xfId="12263" xr:uid="{00000000-0005-0000-0000-0000E72F0000}"/>
    <cellStyle name="Normal 136 3 3 2" xfId="12264" xr:uid="{00000000-0005-0000-0000-0000E82F0000}"/>
    <cellStyle name="Normal 136 3 3 2 2" xfId="12265" xr:uid="{00000000-0005-0000-0000-0000E92F0000}"/>
    <cellStyle name="Normal 136 3 3 3" xfId="12266" xr:uid="{00000000-0005-0000-0000-0000EA2F0000}"/>
    <cellStyle name="Normal 136 3 4" xfId="12267" xr:uid="{00000000-0005-0000-0000-0000EB2F0000}"/>
    <cellStyle name="Normal 136 3 4 2" xfId="12268" xr:uid="{00000000-0005-0000-0000-0000EC2F0000}"/>
    <cellStyle name="Normal 136 3 4 2 2" xfId="12269" xr:uid="{00000000-0005-0000-0000-0000ED2F0000}"/>
    <cellStyle name="Normal 136 3 4 3" xfId="12270" xr:uid="{00000000-0005-0000-0000-0000EE2F0000}"/>
    <cellStyle name="Normal 136 3 5" xfId="12271" xr:uid="{00000000-0005-0000-0000-0000EF2F0000}"/>
    <cellStyle name="Normal 136 3 5 2" xfId="12272" xr:uid="{00000000-0005-0000-0000-0000F02F0000}"/>
    <cellStyle name="Normal 136 3 5 2 2" xfId="12273" xr:uid="{00000000-0005-0000-0000-0000F12F0000}"/>
    <cellStyle name="Normal 136 3 5 3" xfId="12274" xr:uid="{00000000-0005-0000-0000-0000F22F0000}"/>
    <cellStyle name="Normal 136 3 6" xfId="12275" xr:uid="{00000000-0005-0000-0000-0000F32F0000}"/>
    <cellStyle name="Normal 136 4" xfId="12276" xr:uid="{00000000-0005-0000-0000-0000F42F0000}"/>
    <cellStyle name="Normal 136 4 2" xfId="12277" xr:uid="{00000000-0005-0000-0000-0000F52F0000}"/>
    <cellStyle name="Normal 136 4 2 2" xfId="12278" xr:uid="{00000000-0005-0000-0000-0000F62F0000}"/>
    <cellStyle name="Normal 136 4 3" xfId="12279" xr:uid="{00000000-0005-0000-0000-0000F72F0000}"/>
    <cellStyle name="Normal 136 5" xfId="12280" xr:uid="{00000000-0005-0000-0000-0000F82F0000}"/>
    <cellStyle name="Normal 136 5 2" xfId="12281" xr:uid="{00000000-0005-0000-0000-0000F92F0000}"/>
    <cellStyle name="Normal 136 5 2 2" xfId="12282" xr:uid="{00000000-0005-0000-0000-0000FA2F0000}"/>
    <cellStyle name="Normal 136 5 3" xfId="12283" xr:uid="{00000000-0005-0000-0000-0000FB2F0000}"/>
    <cellStyle name="Normal 136 6" xfId="12284" xr:uid="{00000000-0005-0000-0000-0000FC2F0000}"/>
    <cellStyle name="Normal 136 6 2" xfId="12285" xr:uid="{00000000-0005-0000-0000-0000FD2F0000}"/>
    <cellStyle name="Normal 136 6 2 2" xfId="12286" xr:uid="{00000000-0005-0000-0000-0000FE2F0000}"/>
    <cellStyle name="Normal 136 6 3" xfId="12287" xr:uid="{00000000-0005-0000-0000-0000FF2F0000}"/>
    <cellStyle name="Normal 136 7" xfId="12288" xr:uid="{00000000-0005-0000-0000-000000300000}"/>
    <cellStyle name="Normal 137" xfId="12289" xr:uid="{00000000-0005-0000-0000-000001300000}"/>
    <cellStyle name="Normal 137 2" xfId="12290" xr:uid="{00000000-0005-0000-0000-000002300000}"/>
    <cellStyle name="Normal 137 2 2" xfId="12291" xr:uid="{00000000-0005-0000-0000-000003300000}"/>
    <cellStyle name="Normal 137 2 2 2" xfId="12292" xr:uid="{00000000-0005-0000-0000-000004300000}"/>
    <cellStyle name="Normal 137 2 3" xfId="12293" xr:uid="{00000000-0005-0000-0000-000005300000}"/>
    <cellStyle name="Normal 137 2 3 2" xfId="12294" xr:uid="{00000000-0005-0000-0000-000006300000}"/>
    <cellStyle name="Normal 137 2 3 2 2" xfId="12295" xr:uid="{00000000-0005-0000-0000-000007300000}"/>
    <cellStyle name="Normal 137 2 3 3" xfId="12296" xr:uid="{00000000-0005-0000-0000-000008300000}"/>
    <cellStyle name="Normal 137 2 4" xfId="12297" xr:uid="{00000000-0005-0000-0000-000009300000}"/>
    <cellStyle name="Normal 137 2 4 2" xfId="12298" xr:uid="{00000000-0005-0000-0000-00000A300000}"/>
    <cellStyle name="Normal 137 2 4 2 2" xfId="12299" xr:uid="{00000000-0005-0000-0000-00000B300000}"/>
    <cellStyle name="Normal 137 2 4 3" xfId="12300" xr:uid="{00000000-0005-0000-0000-00000C300000}"/>
    <cellStyle name="Normal 137 2 5" xfId="12301" xr:uid="{00000000-0005-0000-0000-00000D300000}"/>
    <cellStyle name="Normal 137 3" xfId="12302" xr:uid="{00000000-0005-0000-0000-00000E300000}"/>
    <cellStyle name="Normal 137 3 2" xfId="12303" xr:uid="{00000000-0005-0000-0000-00000F300000}"/>
    <cellStyle name="Normal 137 3 2 2" xfId="12304" xr:uid="{00000000-0005-0000-0000-000010300000}"/>
    <cellStyle name="Normal 137 3 2 2 2" xfId="12305" xr:uid="{00000000-0005-0000-0000-000011300000}"/>
    <cellStyle name="Normal 137 3 2 3" xfId="12306" xr:uid="{00000000-0005-0000-0000-000012300000}"/>
    <cellStyle name="Normal 137 3 2 3 2" xfId="12307" xr:uid="{00000000-0005-0000-0000-000013300000}"/>
    <cellStyle name="Normal 137 3 2 3 2 2" xfId="12308" xr:uid="{00000000-0005-0000-0000-000014300000}"/>
    <cellStyle name="Normal 137 3 2 3 3" xfId="12309" xr:uid="{00000000-0005-0000-0000-000015300000}"/>
    <cellStyle name="Normal 137 3 2 4" xfId="12310" xr:uid="{00000000-0005-0000-0000-000016300000}"/>
    <cellStyle name="Normal 137 3 3" xfId="12311" xr:uid="{00000000-0005-0000-0000-000017300000}"/>
    <cellStyle name="Normal 137 3 3 2" xfId="12312" xr:uid="{00000000-0005-0000-0000-000018300000}"/>
    <cellStyle name="Normal 137 3 3 2 2" xfId="12313" xr:uid="{00000000-0005-0000-0000-000019300000}"/>
    <cellStyle name="Normal 137 3 3 3" xfId="12314" xr:uid="{00000000-0005-0000-0000-00001A300000}"/>
    <cellStyle name="Normal 137 3 4" xfId="12315" xr:uid="{00000000-0005-0000-0000-00001B300000}"/>
    <cellStyle name="Normal 137 3 4 2" xfId="12316" xr:uid="{00000000-0005-0000-0000-00001C300000}"/>
    <cellStyle name="Normal 137 3 4 2 2" xfId="12317" xr:uid="{00000000-0005-0000-0000-00001D300000}"/>
    <cellStyle name="Normal 137 3 4 3" xfId="12318" xr:uid="{00000000-0005-0000-0000-00001E300000}"/>
    <cellStyle name="Normal 137 3 5" xfId="12319" xr:uid="{00000000-0005-0000-0000-00001F300000}"/>
    <cellStyle name="Normal 137 3 5 2" xfId="12320" xr:uid="{00000000-0005-0000-0000-000020300000}"/>
    <cellStyle name="Normal 137 3 5 2 2" xfId="12321" xr:uid="{00000000-0005-0000-0000-000021300000}"/>
    <cellStyle name="Normal 137 3 5 3" xfId="12322" xr:uid="{00000000-0005-0000-0000-000022300000}"/>
    <cellStyle name="Normal 137 3 6" xfId="12323" xr:uid="{00000000-0005-0000-0000-000023300000}"/>
    <cellStyle name="Normal 137 4" xfId="12324" xr:uid="{00000000-0005-0000-0000-000024300000}"/>
    <cellStyle name="Normal 137 4 2" xfId="12325" xr:uid="{00000000-0005-0000-0000-000025300000}"/>
    <cellStyle name="Normal 137 4 2 2" xfId="12326" xr:uid="{00000000-0005-0000-0000-000026300000}"/>
    <cellStyle name="Normal 137 4 3" xfId="12327" xr:uid="{00000000-0005-0000-0000-000027300000}"/>
    <cellStyle name="Normal 137 5" xfId="12328" xr:uid="{00000000-0005-0000-0000-000028300000}"/>
    <cellStyle name="Normal 137 5 2" xfId="12329" xr:uid="{00000000-0005-0000-0000-000029300000}"/>
    <cellStyle name="Normal 137 5 2 2" xfId="12330" xr:uid="{00000000-0005-0000-0000-00002A300000}"/>
    <cellStyle name="Normal 137 5 3" xfId="12331" xr:uid="{00000000-0005-0000-0000-00002B300000}"/>
    <cellStyle name="Normal 137 6" xfId="12332" xr:uid="{00000000-0005-0000-0000-00002C300000}"/>
    <cellStyle name="Normal 137 6 2" xfId="12333" xr:uid="{00000000-0005-0000-0000-00002D300000}"/>
    <cellStyle name="Normal 137 6 2 2" xfId="12334" xr:uid="{00000000-0005-0000-0000-00002E300000}"/>
    <cellStyle name="Normal 137 6 3" xfId="12335" xr:uid="{00000000-0005-0000-0000-00002F300000}"/>
    <cellStyle name="Normal 137 7" xfId="12336" xr:uid="{00000000-0005-0000-0000-000030300000}"/>
    <cellStyle name="Normal 138" xfId="12337" xr:uid="{00000000-0005-0000-0000-000031300000}"/>
    <cellStyle name="Normal 138 2" xfId="12338" xr:uid="{00000000-0005-0000-0000-000032300000}"/>
    <cellStyle name="Normal 138 2 2" xfId="12339" xr:uid="{00000000-0005-0000-0000-000033300000}"/>
    <cellStyle name="Normal 138 2 2 2" xfId="12340" xr:uid="{00000000-0005-0000-0000-000034300000}"/>
    <cellStyle name="Normal 138 2 3" xfId="12341" xr:uid="{00000000-0005-0000-0000-000035300000}"/>
    <cellStyle name="Normal 138 2 3 2" xfId="12342" xr:uid="{00000000-0005-0000-0000-000036300000}"/>
    <cellStyle name="Normal 138 2 3 2 2" xfId="12343" xr:uid="{00000000-0005-0000-0000-000037300000}"/>
    <cellStyle name="Normal 138 2 3 3" xfId="12344" xr:uid="{00000000-0005-0000-0000-000038300000}"/>
    <cellStyle name="Normal 138 2 4" xfId="12345" xr:uid="{00000000-0005-0000-0000-000039300000}"/>
    <cellStyle name="Normal 138 2 4 2" xfId="12346" xr:uid="{00000000-0005-0000-0000-00003A300000}"/>
    <cellStyle name="Normal 138 2 4 2 2" xfId="12347" xr:uid="{00000000-0005-0000-0000-00003B300000}"/>
    <cellStyle name="Normal 138 2 4 3" xfId="12348" xr:uid="{00000000-0005-0000-0000-00003C300000}"/>
    <cellStyle name="Normal 138 2 5" xfId="12349" xr:uid="{00000000-0005-0000-0000-00003D300000}"/>
    <cellStyle name="Normal 138 3" xfId="12350" xr:uid="{00000000-0005-0000-0000-00003E300000}"/>
    <cellStyle name="Normal 138 3 2" xfId="12351" xr:uid="{00000000-0005-0000-0000-00003F300000}"/>
    <cellStyle name="Normal 138 3 2 2" xfId="12352" xr:uid="{00000000-0005-0000-0000-000040300000}"/>
    <cellStyle name="Normal 138 3 2 2 2" xfId="12353" xr:uid="{00000000-0005-0000-0000-000041300000}"/>
    <cellStyle name="Normal 138 3 2 3" xfId="12354" xr:uid="{00000000-0005-0000-0000-000042300000}"/>
    <cellStyle name="Normal 138 3 2 3 2" xfId="12355" xr:uid="{00000000-0005-0000-0000-000043300000}"/>
    <cellStyle name="Normal 138 3 2 3 2 2" xfId="12356" xr:uid="{00000000-0005-0000-0000-000044300000}"/>
    <cellStyle name="Normal 138 3 2 3 3" xfId="12357" xr:uid="{00000000-0005-0000-0000-000045300000}"/>
    <cellStyle name="Normal 138 3 2 4" xfId="12358" xr:uid="{00000000-0005-0000-0000-000046300000}"/>
    <cellStyle name="Normal 138 3 3" xfId="12359" xr:uid="{00000000-0005-0000-0000-000047300000}"/>
    <cellStyle name="Normal 138 3 3 2" xfId="12360" xr:uid="{00000000-0005-0000-0000-000048300000}"/>
    <cellStyle name="Normal 138 3 3 2 2" xfId="12361" xr:uid="{00000000-0005-0000-0000-000049300000}"/>
    <cellStyle name="Normal 138 3 3 3" xfId="12362" xr:uid="{00000000-0005-0000-0000-00004A300000}"/>
    <cellStyle name="Normal 138 3 4" xfId="12363" xr:uid="{00000000-0005-0000-0000-00004B300000}"/>
    <cellStyle name="Normal 138 3 4 2" xfId="12364" xr:uid="{00000000-0005-0000-0000-00004C300000}"/>
    <cellStyle name="Normal 138 3 4 2 2" xfId="12365" xr:uid="{00000000-0005-0000-0000-00004D300000}"/>
    <cellStyle name="Normal 138 3 4 3" xfId="12366" xr:uid="{00000000-0005-0000-0000-00004E300000}"/>
    <cellStyle name="Normal 138 3 5" xfId="12367" xr:uid="{00000000-0005-0000-0000-00004F300000}"/>
    <cellStyle name="Normal 138 3 5 2" xfId="12368" xr:uid="{00000000-0005-0000-0000-000050300000}"/>
    <cellStyle name="Normal 138 3 5 2 2" xfId="12369" xr:uid="{00000000-0005-0000-0000-000051300000}"/>
    <cellStyle name="Normal 138 3 5 3" xfId="12370" xr:uid="{00000000-0005-0000-0000-000052300000}"/>
    <cellStyle name="Normal 138 3 6" xfId="12371" xr:uid="{00000000-0005-0000-0000-000053300000}"/>
    <cellStyle name="Normal 138 4" xfId="12372" xr:uid="{00000000-0005-0000-0000-000054300000}"/>
    <cellStyle name="Normal 138 4 2" xfId="12373" xr:uid="{00000000-0005-0000-0000-000055300000}"/>
    <cellStyle name="Normal 138 4 2 2" xfId="12374" xr:uid="{00000000-0005-0000-0000-000056300000}"/>
    <cellStyle name="Normal 138 4 3" xfId="12375" xr:uid="{00000000-0005-0000-0000-000057300000}"/>
    <cellStyle name="Normal 138 5" xfId="12376" xr:uid="{00000000-0005-0000-0000-000058300000}"/>
    <cellStyle name="Normal 138 5 2" xfId="12377" xr:uid="{00000000-0005-0000-0000-000059300000}"/>
    <cellStyle name="Normal 138 5 2 2" xfId="12378" xr:uid="{00000000-0005-0000-0000-00005A300000}"/>
    <cellStyle name="Normal 138 5 3" xfId="12379" xr:uid="{00000000-0005-0000-0000-00005B300000}"/>
    <cellStyle name="Normal 138 6" xfId="12380" xr:uid="{00000000-0005-0000-0000-00005C300000}"/>
    <cellStyle name="Normal 138 6 2" xfId="12381" xr:uid="{00000000-0005-0000-0000-00005D300000}"/>
    <cellStyle name="Normal 138 6 2 2" xfId="12382" xr:uid="{00000000-0005-0000-0000-00005E300000}"/>
    <cellStyle name="Normal 138 6 3" xfId="12383" xr:uid="{00000000-0005-0000-0000-00005F300000}"/>
    <cellStyle name="Normal 138 7" xfId="12384" xr:uid="{00000000-0005-0000-0000-000060300000}"/>
    <cellStyle name="Normal 139" xfId="12385" xr:uid="{00000000-0005-0000-0000-000061300000}"/>
    <cellStyle name="Normal 139 2" xfId="12386" xr:uid="{00000000-0005-0000-0000-000062300000}"/>
    <cellStyle name="Normal 139 2 2" xfId="12387" xr:uid="{00000000-0005-0000-0000-000063300000}"/>
    <cellStyle name="Normal 139 2 2 2" xfId="12388" xr:uid="{00000000-0005-0000-0000-000064300000}"/>
    <cellStyle name="Normal 139 2 3" xfId="12389" xr:uid="{00000000-0005-0000-0000-000065300000}"/>
    <cellStyle name="Normal 139 2 3 2" xfId="12390" xr:uid="{00000000-0005-0000-0000-000066300000}"/>
    <cellStyle name="Normal 139 2 3 2 2" xfId="12391" xr:uid="{00000000-0005-0000-0000-000067300000}"/>
    <cellStyle name="Normal 139 2 3 3" xfId="12392" xr:uid="{00000000-0005-0000-0000-000068300000}"/>
    <cellStyle name="Normal 139 2 4" xfId="12393" xr:uid="{00000000-0005-0000-0000-000069300000}"/>
    <cellStyle name="Normal 139 2 4 2" xfId="12394" xr:uid="{00000000-0005-0000-0000-00006A300000}"/>
    <cellStyle name="Normal 139 2 4 2 2" xfId="12395" xr:uid="{00000000-0005-0000-0000-00006B300000}"/>
    <cellStyle name="Normal 139 2 4 3" xfId="12396" xr:uid="{00000000-0005-0000-0000-00006C300000}"/>
    <cellStyle name="Normal 139 2 5" xfId="12397" xr:uid="{00000000-0005-0000-0000-00006D300000}"/>
    <cellStyle name="Normal 139 3" xfId="12398" xr:uid="{00000000-0005-0000-0000-00006E300000}"/>
    <cellStyle name="Normal 139 3 2" xfId="12399" xr:uid="{00000000-0005-0000-0000-00006F300000}"/>
    <cellStyle name="Normal 139 3 2 2" xfId="12400" xr:uid="{00000000-0005-0000-0000-000070300000}"/>
    <cellStyle name="Normal 139 3 2 2 2" xfId="12401" xr:uid="{00000000-0005-0000-0000-000071300000}"/>
    <cellStyle name="Normal 139 3 2 3" xfId="12402" xr:uid="{00000000-0005-0000-0000-000072300000}"/>
    <cellStyle name="Normal 139 3 2 3 2" xfId="12403" xr:uid="{00000000-0005-0000-0000-000073300000}"/>
    <cellStyle name="Normal 139 3 2 3 2 2" xfId="12404" xr:uid="{00000000-0005-0000-0000-000074300000}"/>
    <cellStyle name="Normal 139 3 2 3 3" xfId="12405" xr:uid="{00000000-0005-0000-0000-000075300000}"/>
    <cellStyle name="Normal 139 3 2 4" xfId="12406" xr:uid="{00000000-0005-0000-0000-000076300000}"/>
    <cellStyle name="Normal 139 3 3" xfId="12407" xr:uid="{00000000-0005-0000-0000-000077300000}"/>
    <cellStyle name="Normal 139 3 3 2" xfId="12408" xr:uid="{00000000-0005-0000-0000-000078300000}"/>
    <cellStyle name="Normal 139 3 3 2 2" xfId="12409" xr:uid="{00000000-0005-0000-0000-000079300000}"/>
    <cellStyle name="Normal 139 3 3 3" xfId="12410" xr:uid="{00000000-0005-0000-0000-00007A300000}"/>
    <cellStyle name="Normal 139 3 4" xfId="12411" xr:uid="{00000000-0005-0000-0000-00007B300000}"/>
    <cellStyle name="Normal 139 3 4 2" xfId="12412" xr:uid="{00000000-0005-0000-0000-00007C300000}"/>
    <cellStyle name="Normal 139 3 4 2 2" xfId="12413" xr:uid="{00000000-0005-0000-0000-00007D300000}"/>
    <cellStyle name="Normal 139 3 4 3" xfId="12414" xr:uid="{00000000-0005-0000-0000-00007E300000}"/>
    <cellStyle name="Normal 139 3 5" xfId="12415" xr:uid="{00000000-0005-0000-0000-00007F300000}"/>
    <cellStyle name="Normal 139 3 5 2" xfId="12416" xr:uid="{00000000-0005-0000-0000-000080300000}"/>
    <cellStyle name="Normal 139 3 5 2 2" xfId="12417" xr:uid="{00000000-0005-0000-0000-000081300000}"/>
    <cellStyle name="Normal 139 3 5 3" xfId="12418" xr:uid="{00000000-0005-0000-0000-000082300000}"/>
    <cellStyle name="Normal 139 3 6" xfId="12419" xr:uid="{00000000-0005-0000-0000-000083300000}"/>
    <cellStyle name="Normal 139 4" xfId="12420" xr:uid="{00000000-0005-0000-0000-000084300000}"/>
    <cellStyle name="Normal 139 4 2" xfId="12421" xr:uid="{00000000-0005-0000-0000-000085300000}"/>
    <cellStyle name="Normal 139 4 2 2" xfId="12422" xr:uid="{00000000-0005-0000-0000-000086300000}"/>
    <cellStyle name="Normal 139 4 3" xfId="12423" xr:uid="{00000000-0005-0000-0000-000087300000}"/>
    <cellStyle name="Normal 139 5" xfId="12424" xr:uid="{00000000-0005-0000-0000-000088300000}"/>
    <cellStyle name="Normal 139 5 2" xfId="12425" xr:uid="{00000000-0005-0000-0000-000089300000}"/>
    <cellStyle name="Normal 139 5 2 2" xfId="12426" xr:uid="{00000000-0005-0000-0000-00008A300000}"/>
    <cellStyle name="Normal 139 5 3" xfId="12427" xr:uid="{00000000-0005-0000-0000-00008B300000}"/>
    <cellStyle name="Normal 139 6" xfId="12428" xr:uid="{00000000-0005-0000-0000-00008C300000}"/>
    <cellStyle name="Normal 139 6 2" xfId="12429" xr:uid="{00000000-0005-0000-0000-00008D300000}"/>
    <cellStyle name="Normal 139 6 2 2" xfId="12430" xr:uid="{00000000-0005-0000-0000-00008E300000}"/>
    <cellStyle name="Normal 139 6 3" xfId="12431" xr:uid="{00000000-0005-0000-0000-00008F300000}"/>
    <cellStyle name="Normal 139 7" xfId="12432" xr:uid="{00000000-0005-0000-0000-000090300000}"/>
    <cellStyle name="Normal 14" xfId="62" xr:uid="{00000000-0005-0000-0000-00003E000000}"/>
    <cellStyle name="Normal 14 2" xfId="12433" xr:uid="{00000000-0005-0000-0000-000091300000}"/>
    <cellStyle name="Normal 14 2 2" xfId="12434" xr:uid="{00000000-0005-0000-0000-000092300000}"/>
    <cellStyle name="Normal 14 2 2 2" xfId="12435" xr:uid="{00000000-0005-0000-0000-000093300000}"/>
    <cellStyle name="Normal 14 2 2 2 2" xfId="12436" xr:uid="{00000000-0005-0000-0000-000094300000}"/>
    <cellStyle name="Normal 14 2 2 3" xfId="12437" xr:uid="{00000000-0005-0000-0000-000095300000}"/>
    <cellStyle name="Normal 14 2 2 3 2" xfId="12438" xr:uid="{00000000-0005-0000-0000-000096300000}"/>
    <cellStyle name="Normal 14 2 2 3 2 2" xfId="12439" xr:uid="{00000000-0005-0000-0000-000097300000}"/>
    <cellStyle name="Normal 14 2 2 3 3" xfId="12440" xr:uid="{00000000-0005-0000-0000-000098300000}"/>
    <cellStyle name="Normal 14 2 2 4" xfId="12441" xr:uid="{00000000-0005-0000-0000-000099300000}"/>
    <cellStyle name="Normal 14 2 2 4 2" xfId="12442" xr:uid="{00000000-0005-0000-0000-00009A300000}"/>
    <cellStyle name="Normal 14 2 2 4 2 2" xfId="12443" xr:uid="{00000000-0005-0000-0000-00009B300000}"/>
    <cellStyle name="Normal 14 2 2 4 3" xfId="12444" xr:uid="{00000000-0005-0000-0000-00009C300000}"/>
    <cellStyle name="Normal 14 2 2 5" xfId="12445" xr:uid="{00000000-0005-0000-0000-00009D300000}"/>
    <cellStyle name="Normal 14 2 3" xfId="12446" xr:uid="{00000000-0005-0000-0000-00009E300000}"/>
    <cellStyle name="Normal 14 2 3 2" xfId="12447" xr:uid="{00000000-0005-0000-0000-00009F300000}"/>
    <cellStyle name="Normal 14 2 3 2 2" xfId="12448" xr:uid="{00000000-0005-0000-0000-0000A0300000}"/>
    <cellStyle name="Normal 14 2 3 2 2 2" xfId="12449" xr:uid="{00000000-0005-0000-0000-0000A1300000}"/>
    <cellStyle name="Normal 14 2 3 2 3" xfId="12450" xr:uid="{00000000-0005-0000-0000-0000A2300000}"/>
    <cellStyle name="Normal 14 2 3 2 3 2" xfId="12451" xr:uid="{00000000-0005-0000-0000-0000A3300000}"/>
    <cellStyle name="Normal 14 2 3 2 3 2 2" xfId="12452" xr:uid="{00000000-0005-0000-0000-0000A4300000}"/>
    <cellStyle name="Normal 14 2 3 2 3 3" xfId="12453" xr:uid="{00000000-0005-0000-0000-0000A5300000}"/>
    <cellStyle name="Normal 14 2 3 2 4" xfId="12454" xr:uid="{00000000-0005-0000-0000-0000A6300000}"/>
    <cellStyle name="Normal 14 2 3 3" xfId="12455" xr:uid="{00000000-0005-0000-0000-0000A7300000}"/>
    <cellStyle name="Normal 14 2 3 3 2" xfId="12456" xr:uid="{00000000-0005-0000-0000-0000A8300000}"/>
    <cellStyle name="Normal 14 2 3 3 2 2" xfId="12457" xr:uid="{00000000-0005-0000-0000-0000A9300000}"/>
    <cellStyle name="Normal 14 2 3 3 3" xfId="12458" xr:uid="{00000000-0005-0000-0000-0000AA300000}"/>
    <cellStyle name="Normal 14 2 3 4" xfId="12459" xr:uid="{00000000-0005-0000-0000-0000AB300000}"/>
    <cellStyle name="Normal 14 2 3 4 2" xfId="12460" xr:uid="{00000000-0005-0000-0000-0000AC300000}"/>
    <cellStyle name="Normal 14 2 3 4 2 2" xfId="12461" xr:uid="{00000000-0005-0000-0000-0000AD300000}"/>
    <cellStyle name="Normal 14 2 3 4 3" xfId="12462" xr:uid="{00000000-0005-0000-0000-0000AE300000}"/>
    <cellStyle name="Normal 14 2 3 5" xfId="12463" xr:uid="{00000000-0005-0000-0000-0000AF300000}"/>
    <cellStyle name="Normal 14 2 3 5 2" xfId="12464" xr:uid="{00000000-0005-0000-0000-0000B0300000}"/>
    <cellStyle name="Normal 14 2 3 5 2 2" xfId="12465" xr:uid="{00000000-0005-0000-0000-0000B1300000}"/>
    <cellStyle name="Normal 14 2 3 5 3" xfId="12466" xr:uid="{00000000-0005-0000-0000-0000B2300000}"/>
    <cellStyle name="Normal 14 2 3 6" xfId="12467" xr:uid="{00000000-0005-0000-0000-0000B3300000}"/>
    <cellStyle name="Normal 14 2 4" xfId="12468" xr:uid="{00000000-0005-0000-0000-0000B4300000}"/>
    <cellStyle name="Normal 14 3" xfId="12469" xr:uid="{00000000-0005-0000-0000-0000B5300000}"/>
    <cellStyle name="Normal 14 3 2" xfId="12470" xr:uid="{00000000-0005-0000-0000-0000B6300000}"/>
    <cellStyle name="Normal 14 3 2 2" xfId="12471" xr:uid="{00000000-0005-0000-0000-0000B7300000}"/>
    <cellStyle name="Normal 14 3 2 2 2" xfId="12472" xr:uid="{00000000-0005-0000-0000-0000B8300000}"/>
    <cellStyle name="Normal 14 3 2 3" xfId="12473" xr:uid="{00000000-0005-0000-0000-0000B9300000}"/>
    <cellStyle name="Normal 14 3 2 3 2" xfId="12474" xr:uid="{00000000-0005-0000-0000-0000BA300000}"/>
    <cellStyle name="Normal 14 3 2 3 2 2" xfId="12475" xr:uid="{00000000-0005-0000-0000-0000BB300000}"/>
    <cellStyle name="Normal 14 3 2 3 3" xfId="12476" xr:uid="{00000000-0005-0000-0000-0000BC300000}"/>
    <cellStyle name="Normal 14 3 2 4" xfId="12477" xr:uid="{00000000-0005-0000-0000-0000BD300000}"/>
    <cellStyle name="Normal 14 3 2 4 2" xfId="12478" xr:uid="{00000000-0005-0000-0000-0000BE300000}"/>
    <cellStyle name="Normal 14 3 2 4 2 2" xfId="12479" xr:uid="{00000000-0005-0000-0000-0000BF300000}"/>
    <cellStyle name="Normal 14 3 2 4 3" xfId="12480" xr:uid="{00000000-0005-0000-0000-0000C0300000}"/>
    <cellStyle name="Normal 14 3 2 5" xfId="12481" xr:uid="{00000000-0005-0000-0000-0000C1300000}"/>
    <cellStyle name="Normal 14 3 3" xfId="12482" xr:uid="{00000000-0005-0000-0000-0000C2300000}"/>
    <cellStyle name="Normal 14 3 3 2" xfId="12483" xr:uid="{00000000-0005-0000-0000-0000C3300000}"/>
    <cellStyle name="Normal 14 3 3 2 2" xfId="12484" xr:uid="{00000000-0005-0000-0000-0000C4300000}"/>
    <cellStyle name="Normal 14 3 3 3" xfId="12485" xr:uid="{00000000-0005-0000-0000-0000C5300000}"/>
    <cellStyle name="Normal 14 3 4" xfId="12486" xr:uid="{00000000-0005-0000-0000-0000C6300000}"/>
    <cellStyle name="Normal 14 3 4 2" xfId="12487" xr:uid="{00000000-0005-0000-0000-0000C7300000}"/>
    <cellStyle name="Normal 14 3 4 2 2" xfId="12488" xr:uid="{00000000-0005-0000-0000-0000C8300000}"/>
    <cellStyle name="Normal 14 3 4 3" xfId="12489" xr:uid="{00000000-0005-0000-0000-0000C9300000}"/>
    <cellStyle name="Normal 14 3 5" xfId="12490" xr:uid="{00000000-0005-0000-0000-0000CA300000}"/>
    <cellStyle name="Normal 14 3 5 2" xfId="12491" xr:uid="{00000000-0005-0000-0000-0000CB300000}"/>
    <cellStyle name="Normal 14 3 5 2 2" xfId="12492" xr:uid="{00000000-0005-0000-0000-0000CC300000}"/>
    <cellStyle name="Normal 14 3 5 3" xfId="12493" xr:uid="{00000000-0005-0000-0000-0000CD300000}"/>
    <cellStyle name="Normal 14 3 6" xfId="12494" xr:uid="{00000000-0005-0000-0000-0000CE300000}"/>
    <cellStyle name="Normal 14 4" xfId="12495" xr:uid="{00000000-0005-0000-0000-0000CF300000}"/>
    <cellStyle name="Normal 14 4 2" xfId="12496" xr:uid="{00000000-0005-0000-0000-0000D0300000}"/>
    <cellStyle name="Normal 14 4 2 2" xfId="12497" xr:uid="{00000000-0005-0000-0000-0000D1300000}"/>
    <cellStyle name="Normal 14 4 3" xfId="12498" xr:uid="{00000000-0005-0000-0000-0000D2300000}"/>
    <cellStyle name="Normal 14 4 3 2" xfId="12499" xr:uid="{00000000-0005-0000-0000-0000D3300000}"/>
    <cellStyle name="Normal 14 4 3 2 2" xfId="12500" xr:uid="{00000000-0005-0000-0000-0000D4300000}"/>
    <cellStyle name="Normal 14 4 3 3" xfId="12501" xr:uid="{00000000-0005-0000-0000-0000D5300000}"/>
    <cellStyle name="Normal 14 4 4" xfId="12502" xr:uid="{00000000-0005-0000-0000-0000D6300000}"/>
    <cellStyle name="Normal 14 4 4 2" xfId="12503" xr:uid="{00000000-0005-0000-0000-0000D7300000}"/>
    <cellStyle name="Normal 14 4 4 2 2" xfId="12504" xr:uid="{00000000-0005-0000-0000-0000D8300000}"/>
    <cellStyle name="Normal 14 4 4 3" xfId="12505" xr:uid="{00000000-0005-0000-0000-0000D9300000}"/>
    <cellStyle name="Normal 14 4 5" xfId="12506" xr:uid="{00000000-0005-0000-0000-0000DA300000}"/>
    <cellStyle name="Normal 14 5" xfId="12507" xr:uid="{00000000-0005-0000-0000-0000DB300000}"/>
    <cellStyle name="Normal 14 5 2" xfId="12508" xr:uid="{00000000-0005-0000-0000-0000DC300000}"/>
    <cellStyle name="Normal 14 5 2 2" xfId="12509" xr:uid="{00000000-0005-0000-0000-0000DD300000}"/>
    <cellStyle name="Normal 14 5 2 2 2" xfId="12510" xr:uid="{00000000-0005-0000-0000-0000DE300000}"/>
    <cellStyle name="Normal 14 5 2 3" xfId="12511" xr:uid="{00000000-0005-0000-0000-0000DF300000}"/>
    <cellStyle name="Normal 14 5 2 3 2" xfId="12512" xr:uid="{00000000-0005-0000-0000-0000E0300000}"/>
    <cellStyle name="Normal 14 5 2 3 2 2" xfId="12513" xr:uid="{00000000-0005-0000-0000-0000E1300000}"/>
    <cellStyle name="Normal 14 5 2 3 3" xfId="12514" xr:uid="{00000000-0005-0000-0000-0000E2300000}"/>
    <cellStyle name="Normal 14 5 2 4" xfId="12515" xr:uid="{00000000-0005-0000-0000-0000E3300000}"/>
    <cellStyle name="Normal 14 5 3" xfId="12516" xr:uid="{00000000-0005-0000-0000-0000E4300000}"/>
    <cellStyle name="Normal 14 5 3 2" xfId="12517" xr:uid="{00000000-0005-0000-0000-0000E5300000}"/>
    <cellStyle name="Normal 14 5 3 2 2" xfId="12518" xr:uid="{00000000-0005-0000-0000-0000E6300000}"/>
    <cellStyle name="Normal 14 5 3 3" xfId="12519" xr:uid="{00000000-0005-0000-0000-0000E7300000}"/>
    <cellStyle name="Normal 14 5 4" xfId="12520" xr:uid="{00000000-0005-0000-0000-0000E8300000}"/>
    <cellStyle name="Normal 14 5 4 2" xfId="12521" xr:uid="{00000000-0005-0000-0000-0000E9300000}"/>
    <cellStyle name="Normal 14 5 4 2 2" xfId="12522" xr:uid="{00000000-0005-0000-0000-0000EA300000}"/>
    <cellStyle name="Normal 14 5 4 3" xfId="12523" xr:uid="{00000000-0005-0000-0000-0000EB300000}"/>
    <cellStyle name="Normal 14 5 5" xfId="12524" xr:uid="{00000000-0005-0000-0000-0000EC300000}"/>
    <cellStyle name="Normal 14 5 5 2" xfId="12525" xr:uid="{00000000-0005-0000-0000-0000ED300000}"/>
    <cellStyle name="Normal 14 5 5 2 2" xfId="12526" xr:uid="{00000000-0005-0000-0000-0000EE300000}"/>
    <cellStyle name="Normal 14 5 5 3" xfId="12527" xr:uid="{00000000-0005-0000-0000-0000EF300000}"/>
    <cellStyle name="Normal 14 5 6" xfId="12528" xr:uid="{00000000-0005-0000-0000-0000F0300000}"/>
    <cellStyle name="Normal 14 6" xfId="12529" xr:uid="{00000000-0005-0000-0000-0000F1300000}"/>
    <cellStyle name="Normal 14 6 2" xfId="12530" xr:uid="{00000000-0005-0000-0000-0000F2300000}"/>
    <cellStyle name="Normal 14 6 2 2" xfId="12531" xr:uid="{00000000-0005-0000-0000-0000F3300000}"/>
    <cellStyle name="Normal 14 6 2 2 2" xfId="12532" xr:uid="{00000000-0005-0000-0000-0000F4300000}"/>
    <cellStyle name="Normal 14 6 2 3" xfId="12533" xr:uid="{00000000-0005-0000-0000-0000F5300000}"/>
    <cellStyle name="Normal 14 6 2 3 2" xfId="12534" xr:uid="{00000000-0005-0000-0000-0000F6300000}"/>
    <cellStyle name="Normal 14 6 2 3 2 2" xfId="12535" xr:uid="{00000000-0005-0000-0000-0000F7300000}"/>
    <cellStyle name="Normal 14 6 2 3 3" xfId="12536" xr:uid="{00000000-0005-0000-0000-0000F8300000}"/>
    <cellStyle name="Normal 14 6 2 4" xfId="12537" xr:uid="{00000000-0005-0000-0000-0000F9300000}"/>
    <cellStyle name="Normal 14 6 3" xfId="12538" xr:uid="{00000000-0005-0000-0000-0000FA300000}"/>
    <cellStyle name="Normal 14 6 3 2" xfId="12539" xr:uid="{00000000-0005-0000-0000-0000FB300000}"/>
    <cellStyle name="Normal 14 6 3 2 2" xfId="12540" xr:uid="{00000000-0005-0000-0000-0000FC300000}"/>
    <cellStyle name="Normal 14 6 3 3" xfId="12541" xr:uid="{00000000-0005-0000-0000-0000FD300000}"/>
    <cellStyle name="Normal 14 6 4" xfId="12542" xr:uid="{00000000-0005-0000-0000-0000FE300000}"/>
    <cellStyle name="Normal 14 6 4 2" xfId="12543" xr:uid="{00000000-0005-0000-0000-0000FF300000}"/>
    <cellStyle name="Normal 14 6 4 2 2" xfId="12544" xr:uid="{00000000-0005-0000-0000-000000310000}"/>
    <cellStyle name="Normal 14 6 4 3" xfId="12545" xr:uid="{00000000-0005-0000-0000-000001310000}"/>
    <cellStyle name="Normal 14 6 5" xfId="12546" xr:uid="{00000000-0005-0000-0000-000002310000}"/>
    <cellStyle name="Normal 14 7" xfId="12547" xr:uid="{00000000-0005-0000-0000-000003310000}"/>
    <cellStyle name="Normal 14 7 2" xfId="12548" xr:uid="{00000000-0005-0000-0000-000004310000}"/>
    <cellStyle name="Normal 14 8" xfId="12549" xr:uid="{00000000-0005-0000-0000-000005310000}"/>
    <cellStyle name="Normal 14 9" xfId="12550" xr:uid="{00000000-0005-0000-0000-000006310000}"/>
    <cellStyle name="Normal 140" xfId="12551" xr:uid="{00000000-0005-0000-0000-000007310000}"/>
    <cellStyle name="Normal 140 2" xfId="12552" xr:uid="{00000000-0005-0000-0000-000008310000}"/>
    <cellStyle name="Normal 140 2 2" xfId="12553" xr:uid="{00000000-0005-0000-0000-000009310000}"/>
    <cellStyle name="Normal 140 2 2 2" xfId="12554" xr:uid="{00000000-0005-0000-0000-00000A310000}"/>
    <cellStyle name="Normal 140 2 3" xfId="12555" xr:uid="{00000000-0005-0000-0000-00000B310000}"/>
    <cellStyle name="Normal 140 2 3 2" xfId="12556" xr:uid="{00000000-0005-0000-0000-00000C310000}"/>
    <cellStyle name="Normal 140 2 3 2 2" xfId="12557" xr:uid="{00000000-0005-0000-0000-00000D310000}"/>
    <cellStyle name="Normal 140 2 3 3" xfId="12558" xr:uid="{00000000-0005-0000-0000-00000E310000}"/>
    <cellStyle name="Normal 140 2 4" xfId="12559" xr:uid="{00000000-0005-0000-0000-00000F310000}"/>
    <cellStyle name="Normal 140 2 4 2" xfId="12560" xr:uid="{00000000-0005-0000-0000-000010310000}"/>
    <cellStyle name="Normal 140 2 4 2 2" xfId="12561" xr:uid="{00000000-0005-0000-0000-000011310000}"/>
    <cellStyle name="Normal 140 2 4 3" xfId="12562" xr:uid="{00000000-0005-0000-0000-000012310000}"/>
    <cellStyle name="Normal 140 2 5" xfId="12563" xr:uid="{00000000-0005-0000-0000-000013310000}"/>
    <cellStyle name="Normal 140 3" xfId="12564" xr:uid="{00000000-0005-0000-0000-000014310000}"/>
    <cellStyle name="Normal 140 3 2" xfId="12565" xr:uid="{00000000-0005-0000-0000-000015310000}"/>
    <cellStyle name="Normal 140 3 2 2" xfId="12566" xr:uid="{00000000-0005-0000-0000-000016310000}"/>
    <cellStyle name="Normal 140 3 2 2 2" xfId="12567" xr:uid="{00000000-0005-0000-0000-000017310000}"/>
    <cellStyle name="Normal 140 3 2 3" xfId="12568" xr:uid="{00000000-0005-0000-0000-000018310000}"/>
    <cellStyle name="Normal 140 3 2 3 2" xfId="12569" xr:uid="{00000000-0005-0000-0000-000019310000}"/>
    <cellStyle name="Normal 140 3 2 3 2 2" xfId="12570" xr:uid="{00000000-0005-0000-0000-00001A310000}"/>
    <cellStyle name="Normal 140 3 2 3 3" xfId="12571" xr:uid="{00000000-0005-0000-0000-00001B310000}"/>
    <cellStyle name="Normal 140 3 2 4" xfId="12572" xr:uid="{00000000-0005-0000-0000-00001C310000}"/>
    <cellStyle name="Normal 140 3 3" xfId="12573" xr:uid="{00000000-0005-0000-0000-00001D310000}"/>
    <cellStyle name="Normal 140 3 3 2" xfId="12574" xr:uid="{00000000-0005-0000-0000-00001E310000}"/>
    <cellStyle name="Normal 140 3 3 2 2" xfId="12575" xr:uid="{00000000-0005-0000-0000-00001F310000}"/>
    <cellStyle name="Normal 140 3 3 3" xfId="12576" xr:uid="{00000000-0005-0000-0000-000020310000}"/>
    <cellStyle name="Normal 140 3 4" xfId="12577" xr:uid="{00000000-0005-0000-0000-000021310000}"/>
    <cellStyle name="Normal 140 3 4 2" xfId="12578" xr:uid="{00000000-0005-0000-0000-000022310000}"/>
    <cellStyle name="Normal 140 3 4 2 2" xfId="12579" xr:uid="{00000000-0005-0000-0000-000023310000}"/>
    <cellStyle name="Normal 140 3 4 3" xfId="12580" xr:uid="{00000000-0005-0000-0000-000024310000}"/>
    <cellStyle name="Normal 140 3 5" xfId="12581" xr:uid="{00000000-0005-0000-0000-000025310000}"/>
    <cellStyle name="Normal 140 3 5 2" xfId="12582" xr:uid="{00000000-0005-0000-0000-000026310000}"/>
    <cellStyle name="Normal 140 3 5 2 2" xfId="12583" xr:uid="{00000000-0005-0000-0000-000027310000}"/>
    <cellStyle name="Normal 140 3 5 3" xfId="12584" xr:uid="{00000000-0005-0000-0000-000028310000}"/>
    <cellStyle name="Normal 140 3 6" xfId="12585" xr:uid="{00000000-0005-0000-0000-000029310000}"/>
    <cellStyle name="Normal 140 4" xfId="12586" xr:uid="{00000000-0005-0000-0000-00002A310000}"/>
    <cellStyle name="Normal 140 4 2" xfId="12587" xr:uid="{00000000-0005-0000-0000-00002B310000}"/>
    <cellStyle name="Normal 140 4 2 2" xfId="12588" xr:uid="{00000000-0005-0000-0000-00002C310000}"/>
    <cellStyle name="Normal 140 4 3" xfId="12589" xr:uid="{00000000-0005-0000-0000-00002D310000}"/>
    <cellStyle name="Normal 140 5" xfId="12590" xr:uid="{00000000-0005-0000-0000-00002E310000}"/>
    <cellStyle name="Normal 140 5 2" xfId="12591" xr:uid="{00000000-0005-0000-0000-00002F310000}"/>
    <cellStyle name="Normal 140 5 2 2" xfId="12592" xr:uid="{00000000-0005-0000-0000-000030310000}"/>
    <cellStyle name="Normal 140 5 3" xfId="12593" xr:uid="{00000000-0005-0000-0000-000031310000}"/>
    <cellStyle name="Normal 140 6" xfId="12594" xr:uid="{00000000-0005-0000-0000-000032310000}"/>
    <cellStyle name="Normal 140 6 2" xfId="12595" xr:uid="{00000000-0005-0000-0000-000033310000}"/>
    <cellStyle name="Normal 140 6 2 2" xfId="12596" xr:uid="{00000000-0005-0000-0000-000034310000}"/>
    <cellStyle name="Normal 140 6 3" xfId="12597" xr:uid="{00000000-0005-0000-0000-000035310000}"/>
    <cellStyle name="Normal 140 7" xfId="12598" xr:uid="{00000000-0005-0000-0000-000036310000}"/>
    <cellStyle name="Normal 141" xfId="12599" xr:uid="{00000000-0005-0000-0000-000037310000}"/>
    <cellStyle name="Normal 141 2" xfId="12600" xr:uid="{00000000-0005-0000-0000-000038310000}"/>
    <cellStyle name="Normal 141 2 2" xfId="12601" xr:uid="{00000000-0005-0000-0000-000039310000}"/>
    <cellStyle name="Normal 141 2 2 2" xfId="12602" xr:uid="{00000000-0005-0000-0000-00003A310000}"/>
    <cellStyle name="Normal 141 2 3" xfId="12603" xr:uid="{00000000-0005-0000-0000-00003B310000}"/>
    <cellStyle name="Normal 141 2 3 2" xfId="12604" xr:uid="{00000000-0005-0000-0000-00003C310000}"/>
    <cellStyle name="Normal 141 2 3 2 2" xfId="12605" xr:uid="{00000000-0005-0000-0000-00003D310000}"/>
    <cellStyle name="Normal 141 2 3 3" xfId="12606" xr:uid="{00000000-0005-0000-0000-00003E310000}"/>
    <cellStyle name="Normal 141 2 4" xfId="12607" xr:uid="{00000000-0005-0000-0000-00003F310000}"/>
    <cellStyle name="Normal 141 2 4 2" xfId="12608" xr:uid="{00000000-0005-0000-0000-000040310000}"/>
    <cellStyle name="Normal 141 2 4 2 2" xfId="12609" xr:uid="{00000000-0005-0000-0000-000041310000}"/>
    <cellStyle name="Normal 141 2 4 3" xfId="12610" xr:uid="{00000000-0005-0000-0000-000042310000}"/>
    <cellStyle name="Normal 141 2 5" xfId="12611" xr:uid="{00000000-0005-0000-0000-000043310000}"/>
    <cellStyle name="Normal 141 3" xfId="12612" xr:uid="{00000000-0005-0000-0000-000044310000}"/>
    <cellStyle name="Normal 141 3 2" xfId="12613" xr:uid="{00000000-0005-0000-0000-000045310000}"/>
    <cellStyle name="Normal 141 3 2 2" xfId="12614" xr:uid="{00000000-0005-0000-0000-000046310000}"/>
    <cellStyle name="Normal 141 3 2 2 2" xfId="12615" xr:uid="{00000000-0005-0000-0000-000047310000}"/>
    <cellStyle name="Normal 141 3 2 3" xfId="12616" xr:uid="{00000000-0005-0000-0000-000048310000}"/>
    <cellStyle name="Normal 141 3 2 3 2" xfId="12617" xr:uid="{00000000-0005-0000-0000-000049310000}"/>
    <cellStyle name="Normal 141 3 2 3 2 2" xfId="12618" xr:uid="{00000000-0005-0000-0000-00004A310000}"/>
    <cellStyle name="Normal 141 3 2 3 3" xfId="12619" xr:uid="{00000000-0005-0000-0000-00004B310000}"/>
    <cellStyle name="Normal 141 3 2 4" xfId="12620" xr:uid="{00000000-0005-0000-0000-00004C310000}"/>
    <cellStyle name="Normal 141 3 3" xfId="12621" xr:uid="{00000000-0005-0000-0000-00004D310000}"/>
    <cellStyle name="Normal 141 3 3 2" xfId="12622" xr:uid="{00000000-0005-0000-0000-00004E310000}"/>
    <cellStyle name="Normal 141 3 3 2 2" xfId="12623" xr:uid="{00000000-0005-0000-0000-00004F310000}"/>
    <cellStyle name="Normal 141 3 3 3" xfId="12624" xr:uid="{00000000-0005-0000-0000-000050310000}"/>
    <cellStyle name="Normal 141 3 4" xfId="12625" xr:uid="{00000000-0005-0000-0000-000051310000}"/>
    <cellStyle name="Normal 141 3 4 2" xfId="12626" xr:uid="{00000000-0005-0000-0000-000052310000}"/>
    <cellStyle name="Normal 141 3 4 2 2" xfId="12627" xr:uid="{00000000-0005-0000-0000-000053310000}"/>
    <cellStyle name="Normal 141 3 4 3" xfId="12628" xr:uid="{00000000-0005-0000-0000-000054310000}"/>
    <cellStyle name="Normal 141 3 5" xfId="12629" xr:uid="{00000000-0005-0000-0000-000055310000}"/>
    <cellStyle name="Normal 141 3 5 2" xfId="12630" xr:uid="{00000000-0005-0000-0000-000056310000}"/>
    <cellStyle name="Normal 141 3 5 2 2" xfId="12631" xr:uid="{00000000-0005-0000-0000-000057310000}"/>
    <cellStyle name="Normal 141 3 5 3" xfId="12632" xr:uid="{00000000-0005-0000-0000-000058310000}"/>
    <cellStyle name="Normal 141 3 6" xfId="12633" xr:uid="{00000000-0005-0000-0000-000059310000}"/>
    <cellStyle name="Normal 141 4" xfId="12634" xr:uid="{00000000-0005-0000-0000-00005A310000}"/>
    <cellStyle name="Normal 141 4 2" xfId="12635" xr:uid="{00000000-0005-0000-0000-00005B310000}"/>
    <cellStyle name="Normal 141 4 2 2" xfId="12636" xr:uid="{00000000-0005-0000-0000-00005C310000}"/>
    <cellStyle name="Normal 141 4 3" xfId="12637" xr:uid="{00000000-0005-0000-0000-00005D310000}"/>
    <cellStyle name="Normal 141 5" xfId="12638" xr:uid="{00000000-0005-0000-0000-00005E310000}"/>
    <cellStyle name="Normal 141 5 2" xfId="12639" xr:uid="{00000000-0005-0000-0000-00005F310000}"/>
    <cellStyle name="Normal 141 5 2 2" xfId="12640" xr:uid="{00000000-0005-0000-0000-000060310000}"/>
    <cellStyle name="Normal 141 5 3" xfId="12641" xr:uid="{00000000-0005-0000-0000-000061310000}"/>
    <cellStyle name="Normal 141 6" xfId="12642" xr:uid="{00000000-0005-0000-0000-000062310000}"/>
    <cellStyle name="Normal 141 6 2" xfId="12643" xr:uid="{00000000-0005-0000-0000-000063310000}"/>
    <cellStyle name="Normal 141 6 2 2" xfId="12644" xr:uid="{00000000-0005-0000-0000-000064310000}"/>
    <cellStyle name="Normal 141 6 3" xfId="12645" xr:uid="{00000000-0005-0000-0000-000065310000}"/>
    <cellStyle name="Normal 141 7" xfId="12646" xr:uid="{00000000-0005-0000-0000-000066310000}"/>
    <cellStyle name="Normal 142" xfId="12647" xr:uid="{00000000-0005-0000-0000-000067310000}"/>
    <cellStyle name="Normal 142 2" xfId="12648" xr:uid="{00000000-0005-0000-0000-000068310000}"/>
    <cellStyle name="Normal 142 2 2" xfId="12649" xr:uid="{00000000-0005-0000-0000-000069310000}"/>
    <cellStyle name="Normal 142 2 2 2" xfId="12650" xr:uid="{00000000-0005-0000-0000-00006A310000}"/>
    <cellStyle name="Normal 142 2 3" xfId="12651" xr:uid="{00000000-0005-0000-0000-00006B310000}"/>
    <cellStyle name="Normal 142 2 3 2" xfId="12652" xr:uid="{00000000-0005-0000-0000-00006C310000}"/>
    <cellStyle name="Normal 142 2 3 2 2" xfId="12653" xr:uid="{00000000-0005-0000-0000-00006D310000}"/>
    <cellStyle name="Normal 142 2 3 3" xfId="12654" xr:uid="{00000000-0005-0000-0000-00006E310000}"/>
    <cellStyle name="Normal 142 2 4" xfId="12655" xr:uid="{00000000-0005-0000-0000-00006F310000}"/>
    <cellStyle name="Normal 142 2 4 2" xfId="12656" xr:uid="{00000000-0005-0000-0000-000070310000}"/>
    <cellStyle name="Normal 142 2 4 2 2" xfId="12657" xr:uid="{00000000-0005-0000-0000-000071310000}"/>
    <cellStyle name="Normal 142 2 4 3" xfId="12658" xr:uid="{00000000-0005-0000-0000-000072310000}"/>
    <cellStyle name="Normal 142 2 5" xfId="12659" xr:uid="{00000000-0005-0000-0000-000073310000}"/>
    <cellStyle name="Normal 142 3" xfId="12660" xr:uid="{00000000-0005-0000-0000-000074310000}"/>
    <cellStyle name="Normal 142 3 2" xfId="12661" xr:uid="{00000000-0005-0000-0000-000075310000}"/>
    <cellStyle name="Normal 142 3 2 2" xfId="12662" xr:uid="{00000000-0005-0000-0000-000076310000}"/>
    <cellStyle name="Normal 142 3 2 2 2" xfId="12663" xr:uid="{00000000-0005-0000-0000-000077310000}"/>
    <cellStyle name="Normal 142 3 2 3" xfId="12664" xr:uid="{00000000-0005-0000-0000-000078310000}"/>
    <cellStyle name="Normal 142 3 2 3 2" xfId="12665" xr:uid="{00000000-0005-0000-0000-000079310000}"/>
    <cellStyle name="Normal 142 3 2 3 2 2" xfId="12666" xr:uid="{00000000-0005-0000-0000-00007A310000}"/>
    <cellStyle name="Normal 142 3 2 3 3" xfId="12667" xr:uid="{00000000-0005-0000-0000-00007B310000}"/>
    <cellStyle name="Normal 142 3 2 4" xfId="12668" xr:uid="{00000000-0005-0000-0000-00007C310000}"/>
    <cellStyle name="Normal 142 3 3" xfId="12669" xr:uid="{00000000-0005-0000-0000-00007D310000}"/>
    <cellStyle name="Normal 142 3 3 2" xfId="12670" xr:uid="{00000000-0005-0000-0000-00007E310000}"/>
    <cellStyle name="Normal 142 3 3 2 2" xfId="12671" xr:uid="{00000000-0005-0000-0000-00007F310000}"/>
    <cellStyle name="Normal 142 3 3 3" xfId="12672" xr:uid="{00000000-0005-0000-0000-000080310000}"/>
    <cellStyle name="Normal 142 3 4" xfId="12673" xr:uid="{00000000-0005-0000-0000-000081310000}"/>
    <cellStyle name="Normal 142 3 4 2" xfId="12674" xr:uid="{00000000-0005-0000-0000-000082310000}"/>
    <cellStyle name="Normal 142 3 4 2 2" xfId="12675" xr:uid="{00000000-0005-0000-0000-000083310000}"/>
    <cellStyle name="Normal 142 3 4 3" xfId="12676" xr:uid="{00000000-0005-0000-0000-000084310000}"/>
    <cellStyle name="Normal 142 3 5" xfId="12677" xr:uid="{00000000-0005-0000-0000-000085310000}"/>
    <cellStyle name="Normal 142 3 5 2" xfId="12678" xr:uid="{00000000-0005-0000-0000-000086310000}"/>
    <cellStyle name="Normal 142 3 5 2 2" xfId="12679" xr:uid="{00000000-0005-0000-0000-000087310000}"/>
    <cellStyle name="Normal 142 3 5 3" xfId="12680" xr:uid="{00000000-0005-0000-0000-000088310000}"/>
    <cellStyle name="Normal 142 3 6" xfId="12681" xr:uid="{00000000-0005-0000-0000-000089310000}"/>
    <cellStyle name="Normal 142 4" xfId="12682" xr:uid="{00000000-0005-0000-0000-00008A310000}"/>
    <cellStyle name="Normal 142 4 2" xfId="12683" xr:uid="{00000000-0005-0000-0000-00008B310000}"/>
    <cellStyle name="Normal 142 4 2 2" xfId="12684" xr:uid="{00000000-0005-0000-0000-00008C310000}"/>
    <cellStyle name="Normal 142 4 3" xfId="12685" xr:uid="{00000000-0005-0000-0000-00008D310000}"/>
    <cellStyle name="Normal 142 5" xfId="12686" xr:uid="{00000000-0005-0000-0000-00008E310000}"/>
    <cellStyle name="Normal 142 5 2" xfId="12687" xr:uid="{00000000-0005-0000-0000-00008F310000}"/>
    <cellStyle name="Normal 142 5 2 2" xfId="12688" xr:uid="{00000000-0005-0000-0000-000090310000}"/>
    <cellStyle name="Normal 142 5 3" xfId="12689" xr:uid="{00000000-0005-0000-0000-000091310000}"/>
    <cellStyle name="Normal 142 6" xfId="12690" xr:uid="{00000000-0005-0000-0000-000092310000}"/>
    <cellStyle name="Normal 142 6 2" xfId="12691" xr:uid="{00000000-0005-0000-0000-000093310000}"/>
    <cellStyle name="Normal 142 6 2 2" xfId="12692" xr:uid="{00000000-0005-0000-0000-000094310000}"/>
    <cellStyle name="Normal 142 6 3" xfId="12693" xr:uid="{00000000-0005-0000-0000-000095310000}"/>
    <cellStyle name="Normal 142 7" xfId="12694" xr:uid="{00000000-0005-0000-0000-000096310000}"/>
    <cellStyle name="Normal 143" xfId="12695" xr:uid="{00000000-0005-0000-0000-000097310000}"/>
    <cellStyle name="Normal 143 2" xfId="12696" xr:uid="{00000000-0005-0000-0000-000098310000}"/>
    <cellStyle name="Normal 143 2 2" xfId="12697" xr:uid="{00000000-0005-0000-0000-000099310000}"/>
    <cellStyle name="Normal 143 2 2 2" xfId="12698" xr:uid="{00000000-0005-0000-0000-00009A310000}"/>
    <cellStyle name="Normal 143 2 3" xfId="12699" xr:uid="{00000000-0005-0000-0000-00009B310000}"/>
    <cellStyle name="Normal 143 2 3 2" xfId="12700" xr:uid="{00000000-0005-0000-0000-00009C310000}"/>
    <cellStyle name="Normal 143 2 3 2 2" xfId="12701" xr:uid="{00000000-0005-0000-0000-00009D310000}"/>
    <cellStyle name="Normal 143 2 3 3" xfId="12702" xr:uid="{00000000-0005-0000-0000-00009E310000}"/>
    <cellStyle name="Normal 143 2 4" xfId="12703" xr:uid="{00000000-0005-0000-0000-00009F310000}"/>
    <cellStyle name="Normal 143 2 4 2" xfId="12704" xr:uid="{00000000-0005-0000-0000-0000A0310000}"/>
    <cellStyle name="Normal 143 2 4 2 2" xfId="12705" xr:uid="{00000000-0005-0000-0000-0000A1310000}"/>
    <cellStyle name="Normal 143 2 4 3" xfId="12706" xr:uid="{00000000-0005-0000-0000-0000A2310000}"/>
    <cellStyle name="Normal 143 2 5" xfId="12707" xr:uid="{00000000-0005-0000-0000-0000A3310000}"/>
    <cellStyle name="Normal 143 3" xfId="12708" xr:uid="{00000000-0005-0000-0000-0000A4310000}"/>
    <cellStyle name="Normal 143 3 2" xfId="12709" xr:uid="{00000000-0005-0000-0000-0000A5310000}"/>
    <cellStyle name="Normal 143 3 2 2" xfId="12710" xr:uid="{00000000-0005-0000-0000-0000A6310000}"/>
    <cellStyle name="Normal 143 3 2 2 2" xfId="12711" xr:uid="{00000000-0005-0000-0000-0000A7310000}"/>
    <cellStyle name="Normal 143 3 2 3" xfId="12712" xr:uid="{00000000-0005-0000-0000-0000A8310000}"/>
    <cellStyle name="Normal 143 3 2 3 2" xfId="12713" xr:uid="{00000000-0005-0000-0000-0000A9310000}"/>
    <cellStyle name="Normal 143 3 2 3 2 2" xfId="12714" xr:uid="{00000000-0005-0000-0000-0000AA310000}"/>
    <cellStyle name="Normal 143 3 2 3 3" xfId="12715" xr:uid="{00000000-0005-0000-0000-0000AB310000}"/>
    <cellStyle name="Normal 143 3 2 4" xfId="12716" xr:uid="{00000000-0005-0000-0000-0000AC310000}"/>
    <cellStyle name="Normal 143 3 3" xfId="12717" xr:uid="{00000000-0005-0000-0000-0000AD310000}"/>
    <cellStyle name="Normal 143 3 3 2" xfId="12718" xr:uid="{00000000-0005-0000-0000-0000AE310000}"/>
    <cellStyle name="Normal 143 3 3 2 2" xfId="12719" xr:uid="{00000000-0005-0000-0000-0000AF310000}"/>
    <cellStyle name="Normal 143 3 3 3" xfId="12720" xr:uid="{00000000-0005-0000-0000-0000B0310000}"/>
    <cellStyle name="Normal 143 3 4" xfId="12721" xr:uid="{00000000-0005-0000-0000-0000B1310000}"/>
    <cellStyle name="Normal 143 3 4 2" xfId="12722" xr:uid="{00000000-0005-0000-0000-0000B2310000}"/>
    <cellStyle name="Normal 143 3 4 2 2" xfId="12723" xr:uid="{00000000-0005-0000-0000-0000B3310000}"/>
    <cellStyle name="Normal 143 3 4 3" xfId="12724" xr:uid="{00000000-0005-0000-0000-0000B4310000}"/>
    <cellStyle name="Normal 143 3 5" xfId="12725" xr:uid="{00000000-0005-0000-0000-0000B5310000}"/>
    <cellStyle name="Normal 143 3 5 2" xfId="12726" xr:uid="{00000000-0005-0000-0000-0000B6310000}"/>
    <cellStyle name="Normal 143 3 5 2 2" xfId="12727" xr:uid="{00000000-0005-0000-0000-0000B7310000}"/>
    <cellStyle name="Normal 143 3 5 3" xfId="12728" xr:uid="{00000000-0005-0000-0000-0000B8310000}"/>
    <cellStyle name="Normal 143 3 6" xfId="12729" xr:uid="{00000000-0005-0000-0000-0000B9310000}"/>
    <cellStyle name="Normal 143 4" xfId="12730" xr:uid="{00000000-0005-0000-0000-0000BA310000}"/>
    <cellStyle name="Normal 143 4 2" xfId="12731" xr:uid="{00000000-0005-0000-0000-0000BB310000}"/>
    <cellStyle name="Normal 143 4 2 2" xfId="12732" xr:uid="{00000000-0005-0000-0000-0000BC310000}"/>
    <cellStyle name="Normal 143 4 3" xfId="12733" xr:uid="{00000000-0005-0000-0000-0000BD310000}"/>
    <cellStyle name="Normal 143 5" xfId="12734" xr:uid="{00000000-0005-0000-0000-0000BE310000}"/>
    <cellStyle name="Normal 143 5 2" xfId="12735" xr:uid="{00000000-0005-0000-0000-0000BF310000}"/>
    <cellStyle name="Normal 143 5 2 2" xfId="12736" xr:uid="{00000000-0005-0000-0000-0000C0310000}"/>
    <cellStyle name="Normal 143 5 3" xfId="12737" xr:uid="{00000000-0005-0000-0000-0000C1310000}"/>
    <cellStyle name="Normal 143 6" xfId="12738" xr:uid="{00000000-0005-0000-0000-0000C2310000}"/>
    <cellStyle name="Normal 143 6 2" xfId="12739" xr:uid="{00000000-0005-0000-0000-0000C3310000}"/>
    <cellStyle name="Normal 143 6 2 2" xfId="12740" xr:uid="{00000000-0005-0000-0000-0000C4310000}"/>
    <cellStyle name="Normal 143 6 3" xfId="12741" xr:uid="{00000000-0005-0000-0000-0000C5310000}"/>
    <cellStyle name="Normal 143 7" xfId="12742" xr:uid="{00000000-0005-0000-0000-0000C6310000}"/>
    <cellStyle name="Normal 144" xfId="12743" xr:uid="{00000000-0005-0000-0000-0000C7310000}"/>
    <cellStyle name="Normal 144 2" xfId="12744" xr:uid="{00000000-0005-0000-0000-0000C8310000}"/>
    <cellStyle name="Normal 144 2 2" xfId="12745" xr:uid="{00000000-0005-0000-0000-0000C9310000}"/>
    <cellStyle name="Normal 144 2 2 2" xfId="12746" xr:uid="{00000000-0005-0000-0000-0000CA310000}"/>
    <cellStyle name="Normal 144 2 3" xfId="12747" xr:uid="{00000000-0005-0000-0000-0000CB310000}"/>
    <cellStyle name="Normal 144 2 3 2" xfId="12748" xr:uid="{00000000-0005-0000-0000-0000CC310000}"/>
    <cellStyle name="Normal 144 2 3 2 2" xfId="12749" xr:uid="{00000000-0005-0000-0000-0000CD310000}"/>
    <cellStyle name="Normal 144 2 3 3" xfId="12750" xr:uid="{00000000-0005-0000-0000-0000CE310000}"/>
    <cellStyle name="Normal 144 2 4" xfId="12751" xr:uid="{00000000-0005-0000-0000-0000CF310000}"/>
    <cellStyle name="Normal 144 2 4 2" xfId="12752" xr:uid="{00000000-0005-0000-0000-0000D0310000}"/>
    <cellStyle name="Normal 144 2 4 2 2" xfId="12753" xr:uid="{00000000-0005-0000-0000-0000D1310000}"/>
    <cellStyle name="Normal 144 2 4 3" xfId="12754" xr:uid="{00000000-0005-0000-0000-0000D2310000}"/>
    <cellStyle name="Normal 144 2 5" xfId="12755" xr:uid="{00000000-0005-0000-0000-0000D3310000}"/>
    <cellStyle name="Normal 144 3" xfId="12756" xr:uid="{00000000-0005-0000-0000-0000D4310000}"/>
    <cellStyle name="Normal 144 3 2" xfId="12757" xr:uid="{00000000-0005-0000-0000-0000D5310000}"/>
    <cellStyle name="Normal 144 3 2 2" xfId="12758" xr:uid="{00000000-0005-0000-0000-0000D6310000}"/>
    <cellStyle name="Normal 144 3 2 2 2" xfId="12759" xr:uid="{00000000-0005-0000-0000-0000D7310000}"/>
    <cellStyle name="Normal 144 3 2 3" xfId="12760" xr:uid="{00000000-0005-0000-0000-0000D8310000}"/>
    <cellStyle name="Normal 144 3 2 3 2" xfId="12761" xr:uid="{00000000-0005-0000-0000-0000D9310000}"/>
    <cellStyle name="Normal 144 3 2 3 2 2" xfId="12762" xr:uid="{00000000-0005-0000-0000-0000DA310000}"/>
    <cellStyle name="Normal 144 3 2 3 3" xfId="12763" xr:uid="{00000000-0005-0000-0000-0000DB310000}"/>
    <cellStyle name="Normal 144 3 2 4" xfId="12764" xr:uid="{00000000-0005-0000-0000-0000DC310000}"/>
    <cellStyle name="Normal 144 3 3" xfId="12765" xr:uid="{00000000-0005-0000-0000-0000DD310000}"/>
    <cellStyle name="Normal 144 3 3 2" xfId="12766" xr:uid="{00000000-0005-0000-0000-0000DE310000}"/>
    <cellStyle name="Normal 144 3 3 2 2" xfId="12767" xr:uid="{00000000-0005-0000-0000-0000DF310000}"/>
    <cellStyle name="Normal 144 3 3 3" xfId="12768" xr:uid="{00000000-0005-0000-0000-0000E0310000}"/>
    <cellStyle name="Normal 144 3 4" xfId="12769" xr:uid="{00000000-0005-0000-0000-0000E1310000}"/>
    <cellStyle name="Normal 144 3 4 2" xfId="12770" xr:uid="{00000000-0005-0000-0000-0000E2310000}"/>
    <cellStyle name="Normal 144 3 4 2 2" xfId="12771" xr:uid="{00000000-0005-0000-0000-0000E3310000}"/>
    <cellStyle name="Normal 144 3 4 3" xfId="12772" xr:uid="{00000000-0005-0000-0000-0000E4310000}"/>
    <cellStyle name="Normal 144 3 5" xfId="12773" xr:uid="{00000000-0005-0000-0000-0000E5310000}"/>
    <cellStyle name="Normal 144 3 5 2" xfId="12774" xr:uid="{00000000-0005-0000-0000-0000E6310000}"/>
    <cellStyle name="Normal 144 3 5 2 2" xfId="12775" xr:uid="{00000000-0005-0000-0000-0000E7310000}"/>
    <cellStyle name="Normal 144 3 5 3" xfId="12776" xr:uid="{00000000-0005-0000-0000-0000E8310000}"/>
    <cellStyle name="Normal 144 3 6" xfId="12777" xr:uid="{00000000-0005-0000-0000-0000E9310000}"/>
    <cellStyle name="Normal 144 4" xfId="12778" xr:uid="{00000000-0005-0000-0000-0000EA310000}"/>
    <cellStyle name="Normal 144 4 2" xfId="12779" xr:uid="{00000000-0005-0000-0000-0000EB310000}"/>
    <cellStyle name="Normal 144 4 2 2" xfId="12780" xr:uid="{00000000-0005-0000-0000-0000EC310000}"/>
    <cellStyle name="Normal 144 4 3" xfId="12781" xr:uid="{00000000-0005-0000-0000-0000ED310000}"/>
    <cellStyle name="Normal 144 5" xfId="12782" xr:uid="{00000000-0005-0000-0000-0000EE310000}"/>
    <cellStyle name="Normal 144 5 2" xfId="12783" xr:uid="{00000000-0005-0000-0000-0000EF310000}"/>
    <cellStyle name="Normal 144 5 2 2" xfId="12784" xr:uid="{00000000-0005-0000-0000-0000F0310000}"/>
    <cellStyle name="Normal 144 5 3" xfId="12785" xr:uid="{00000000-0005-0000-0000-0000F1310000}"/>
    <cellStyle name="Normal 144 6" xfId="12786" xr:uid="{00000000-0005-0000-0000-0000F2310000}"/>
    <cellStyle name="Normal 144 6 2" xfId="12787" xr:uid="{00000000-0005-0000-0000-0000F3310000}"/>
    <cellStyle name="Normal 144 6 2 2" xfId="12788" xr:uid="{00000000-0005-0000-0000-0000F4310000}"/>
    <cellStyle name="Normal 144 6 3" xfId="12789" xr:uid="{00000000-0005-0000-0000-0000F5310000}"/>
    <cellStyle name="Normal 144 7" xfId="12790" xr:uid="{00000000-0005-0000-0000-0000F6310000}"/>
    <cellStyle name="Normal 145" xfId="12791" xr:uid="{00000000-0005-0000-0000-0000F7310000}"/>
    <cellStyle name="Normal 145 2" xfId="12792" xr:uid="{00000000-0005-0000-0000-0000F8310000}"/>
    <cellStyle name="Normal 145 2 2" xfId="12793" xr:uid="{00000000-0005-0000-0000-0000F9310000}"/>
    <cellStyle name="Normal 145 2 2 2" xfId="12794" xr:uid="{00000000-0005-0000-0000-0000FA310000}"/>
    <cellStyle name="Normal 145 2 3" xfId="12795" xr:uid="{00000000-0005-0000-0000-0000FB310000}"/>
    <cellStyle name="Normal 145 2 3 2" xfId="12796" xr:uid="{00000000-0005-0000-0000-0000FC310000}"/>
    <cellStyle name="Normal 145 2 3 2 2" xfId="12797" xr:uid="{00000000-0005-0000-0000-0000FD310000}"/>
    <cellStyle name="Normal 145 2 3 3" xfId="12798" xr:uid="{00000000-0005-0000-0000-0000FE310000}"/>
    <cellStyle name="Normal 145 2 4" xfId="12799" xr:uid="{00000000-0005-0000-0000-0000FF310000}"/>
    <cellStyle name="Normal 145 2 4 2" xfId="12800" xr:uid="{00000000-0005-0000-0000-000000320000}"/>
    <cellStyle name="Normal 145 2 4 2 2" xfId="12801" xr:uid="{00000000-0005-0000-0000-000001320000}"/>
    <cellStyle name="Normal 145 2 4 3" xfId="12802" xr:uid="{00000000-0005-0000-0000-000002320000}"/>
    <cellStyle name="Normal 145 2 5" xfId="12803" xr:uid="{00000000-0005-0000-0000-000003320000}"/>
    <cellStyle name="Normal 145 3" xfId="12804" xr:uid="{00000000-0005-0000-0000-000004320000}"/>
    <cellStyle name="Normal 145 3 2" xfId="12805" xr:uid="{00000000-0005-0000-0000-000005320000}"/>
    <cellStyle name="Normal 145 3 2 2" xfId="12806" xr:uid="{00000000-0005-0000-0000-000006320000}"/>
    <cellStyle name="Normal 145 3 2 2 2" xfId="12807" xr:uid="{00000000-0005-0000-0000-000007320000}"/>
    <cellStyle name="Normal 145 3 2 3" xfId="12808" xr:uid="{00000000-0005-0000-0000-000008320000}"/>
    <cellStyle name="Normal 145 3 2 3 2" xfId="12809" xr:uid="{00000000-0005-0000-0000-000009320000}"/>
    <cellStyle name="Normal 145 3 2 3 2 2" xfId="12810" xr:uid="{00000000-0005-0000-0000-00000A320000}"/>
    <cellStyle name="Normal 145 3 2 3 3" xfId="12811" xr:uid="{00000000-0005-0000-0000-00000B320000}"/>
    <cellStyle name="Normal 145 3 2 4" xfId="12812" xr:uid="{00000000-0005-0000-0000-00000C320000}"/>
    <cellStyle name="Normal 145 3 3" xfId="12813" xr:uid="{00000000-0005-0000-0000-00000D320000}"/>
    <cellStyle name="Normal 145 3 3 2" xfId="12814" xr:uid="{00000000-0005-0000-0000-00000E320000}"/>
    <cellStyle name="Normal 145 3 3 2 2" xfId="12815" xr:uid="{00000000-0005-0000-0000-00000F320000}"/>
    <cellStyle name="Normal 145 3 3 3" xfId="12816" xr:uid="{00000000-0005-0000-0000-000010320000}"/>
    <cellStyle name="Normal 145 3 4" xfId="12817" xr:uid="{00000000-0005-0000-0000-000011320000}"/>
    <cellStyle name="Normal 145 3 4 2" xfId="12818" xr:uid="{00000000-0005-0000-0000-000012320000}"/>
    <cellStyle name="Normal 145 3 4 2 2" xfId="12819" xr:uid="{00000000-0005-0000-0000-000013320000}"/>
    <cellStyle name="Normal 145 3 4 3" xfId="12820" xr:uid="{00000000-0005-0000-0000-000014320000}"/>
    <cellStyle name="Normal 145 3 5" xfId="12821" xr:uid="{00000000-0005-0000-0000-000015320000}"/>
    <cellStyle name="Normal 145 3 5 2" xfId="12822" xr:uid="{00000000-0005-0000-0000-000016320000}"/>
    <cellStyle name="Normal 145 3 5 2 2" xfId="12823" xr:uid="{00000000-0005-0000-0000-000017320000}"/>
    <cellStyle name="Normal 145 3 5 3" xfId="12824" xr:uid="{00000000-0005-0000-0000-000018320000}"/>
    <cellStyle name="Normal 145 3 6" xfId="12825" xr:uid="{00000000-0005-0000-0000-000019320000}"/>
    <cellStyle name="Normal 145 4" xfId="12826" xr:uid="{00000000-0005-0000-0000-00001A320000}"/>
    <cellStyle name="Normal 145 4 2" xfId="12827" xr:uid="{00000000-0005-0000-0000-00001B320000}"/>
    <cellStyle name="Normal 145 4 2 2" xfId="12828" xr:uid="{00000000-0005-0000-0000-00001C320000}"/>
    <cellStyle name="Normal 145 4 3" xfId="12829" xr:uid="{00000000-0005-0000-0000-00001D320000}"/>
    <cellStyle name="Normal 145 5" xfId="12830" xr:uid="{00000000-0005-0000-0000-00001E320000}"/>
    <cellStyle name="Normal 145 5 2" xfId="12831" xr:uid="{00000000-0005-0000-0000-00001F320000}"/>
    <cellStyle name="Normal 145 5 2 2" xfId="12832" xr:uid="{00000000-0005-0000-0000-000020320000}"/>
    <cellStyle name="Normal 145 5 3" xfId="12833" xr:uid="{00000000-0005-0000-0000-000021320000}"/>
    <cellStyle name="Normal 145 6" xfId="12834" xr:uid="{00000000-0005-0000-0000-000022320000}"/>
    <cellStyle name="Normal 145 6 2" xfId="12835" xr:uid="{00000000-0005-0000-0000-000023320000}"/>
    <cellStyle name="Normal 145 6 2 2" xfId="12836" xr:uid="{00000000-0005-0000-0000-000024320000}"/>
    <cellStyle name="Normal 145 6 3" xfId="12837" xr:uid="{00000000-0005-0000-0000-000025320000}"/>
    <cellStyle name="Normal 145 7" xfId="12838" xr:uid="{00000000-0005-0000-0000-000026320000}"/>
    <cellStyle name="Normal 146" xfId="12839" xr:uid="{00000000-0005-0000-0000-000027320000}"/>
    <cellStyle name="Normal 146 2" xfId="12840" xr:uid="{00000000-0005-0000-0000-000028320000}"/>
    <cellStyle name="Normal 146 2 2" xfId="12841" xr:uid="{00000000-0005-0000-0000-000029320000}"/>
    <cellStyle name="Normal 146 2 2 2" xfId="12842" xr:uid="{00000000-0005-0000-0000-00002A320000}"/>
    <cellStyle name="Normal 146 2 3" xfId="12843" xr:uid="{00000000-0005-0000-0000-00002B320000}"/>
    <cellStyle name="Normal 146 2 3 2" xfId="12844" xr:uid="{00000000-0005-0000-0000-00002C320000}"/>
    <cellStyle name="Normal 146 2 3 2 2" xfId="12845" xr:uid="{00000000-0005-0000-0000-00002D320000}"/>
    <cellStyle name="Normal 146 2 3 3" xfId="12846" xr:uid="{00000000-0005-0000-0000-00002E320000}"/>
    <cellStyle name="Normal 146 2 4" xfId="12847" xr:uid="{00000000-0005-0000-0000-00002F320000}"/>
    <cellStyle name="Normal 146 2 4 2" xfId="12848" xr:uid="{00000000-0005-0000-0000-000030320000}"/>
    <cellStyle name="Normal 146 2 4 2 2" xfId="12849" xr:uid="{00000000-0005-0000-0000-000031320000}"/>
    <cellStyle name="Normal 146 2 4 3" xfId="12850" xr:uid="{00000000-0005-0000-0000-000032320000}"/>
    <cellStyle name="Normal 146 2 5" xfId="12851" xr:uid="{00000000-0005-0000-0000-000033320000}"/>
    <cellStyle name="Normal 146 3" xfId="12852" xr:uid="{00000000-0005-0000-0000-000034320000}"/>
    <cellStyle name="Normal 146 3 2" xfId="12853" xr:uid="{00000000-0005-0000-0000-000035320000}"/>
    <cellStyle name="Normal 146 3 2 2" xfId="12854" xr:uid="{00000000-0005-0000-0000-000036320000}"/>
    <cellStyle name="Normal 146 3 2 2 2" xfId="12855" xr:uid="{00000000-0005-0000-0000-000037320000}"/>
    <cellStyle name="Normal 146 3 2 3" xfId="12856" xr:uid="{00000000-0005-0000-0000-000038320000}"/>
    <cellStyle name="Normal 146 3 2 3 2" xfId="12857" xr:uid="{00000000-0005-0000-0000-000039320000}"/>
    <cellStyle name="Normal 146 3 2 3 2 2" xfId="12858" xr:uid="{00000000-0005-0000-0000-00003A320000}"/>
    <cellStyle name="Normal 146 3 2 3 3" xfId="12859" xr:uid="{00000000-0005-0000-0000-00003B320000}"/>
    <cellStyle name="Normal 146 3 2 4" xfId="12860" xr:uid="{00000000-0005-0000-0000-00003C320000}"/>
    <cellStyle name="Normal 146 3 3" xfId="12861" xr:uid="{00000000-0005-0000-0000-00003D320000}"/>
    <cellStyle name="Normal 146 3 3 2" xfId="12862" xr:uid="{00000000-0005-0000-0000-00003E320000}"/>
    <cellStyle name="Normal 146 3 3 2 2" xfId="12863" xr:uid="{00000000-0005-0000-0000-00003F320000}"/>
    <cellStyle name="Normal 146 3 3 3" xfId="12864" xr:uid="{00000000-0005-0000-0000-000040320000}"/>
    <cellStyle name="Normal 146 3 4" xfId="12865" xr:uid="{00000000-0005-0000-0000-000041320000}"/>
    <cellStyle name="Normal 146 3 4 2" xfId="12866" xr:uid="{00000000-0005-0000-0000-000042320000}"/>
    <cellStyle name="Normal 146 3 4 2 2" xfId="12867" xr:uid="{00000000-0005-0000-0000-000043320000}"/>
    <cellStyle name="Normal 146 3 4 3" xfId="12868" xr:uid="{00000000-0005-0000-0000-000044320000}"/>
    <cellStyle name="Normal 146 3 5" xfId="12869" xr:uid="{00000000-0005-0000-0000-000045320000}"/>
    <cellStyle name="Normal 146 3 5 2" xfId="12870" xr:uid="{00000000-0005-0000-0000-000046320000}"/>
    <cellStyle name="Normal 146 3 5 2 2" xfId="12871" xr:uid="{00000000-0005-0000-0000-000047320000}"/>
    <cellStyle name="Normal 146 3 5 3" xfId="12872" xr:uid="{00000000-0005-0000-0000-000048320000}"/>
    <cellStyle name="Normal 146 3 6" xfId="12873" xr:uid="{00000000-0005-0000-0000-000049320000}"/>
    <cellStyle name="Normal 146 4" xfId="12874" xr:uid="{00000000-0005-0000-0000-00004A320000}"/>
    <cellStyle name="Normal 146 4 2" xfId="12875" xr:uid="{00000000-0005-0000-0000-00004B320000}"/>
    <cellStyle name="Normal 146 4 2 2" xfId="12876" xr:uid="{00000000-0005-0000-0000-00004C320000}"/>
    <cellStyle name="Normal 146 4 3" xfId="12877" xr:uid="{00000000-0005-0000-0000-00004D320000}"/>
    <cellStyle name="Normal 146 5" xfId="12878" xr:uid="{00000000-0005-0000-0000-00004E320000}"/>
    <cellStyle name="Normal 146 5 2" xfId="12879" xr:uid="{00000000-0005-0000-0000-00004F320000}"/>
    <cellStyle name="Normal 146 5 2 2" xfId="12880" xr:uid="{00000000-0005-0000-0000-000050320000}"/>
    <cellStyle name="Normal 146 5 3" xfId="12881" xr:uid="{00000000-0005-0000-0000-000051320000}"/>
    <cellStyle name="Normal 146 6" xfId="12882" xr:uid="{00000000-0005-0000-0000-000052320000}"/>
    <cellStyle name="Normal 146 6 2" xfId="12883" xr:uid="{00000000-0005-0000-0000-000053320000}"/>
    <cellStyle name="Normal 146 6 2 2" xfId="12884" xr:uid="{00000000-0005-0000-0000-000054320000}"/>
    <cellStyle name="Normal 146 6 3" xfId="12885" xr:uid="{00000000-0005-0000-0000-000055320000}"/>
    <cellStyle name="Normal 146 7" xfId="12886" xr:uid="{00000000-0005-0000-0000-000056320000}"/>
    <cellStyle name="Normal 147" xfId="12887" xr:uid="{00000000-0005-0000-0000-000057320000}"/>
    <cellStyle name="Normal 147 2" xfId="12888" xr:uid="{00000000-0005-0000-0000-000058320000}"/>
    <cellStyle name="Normal 147 2 2" xfId="12889" xr:uid="{00000000-0005-0000-0000-000059320000}"/>
    <cellStyle name="Normal 147 2 2 2" xfId="12890" xr:uid="{00000000-0005-0000-0000-00005A320000}"/>
    <cellStyle name="Normal 147 2 3" xfId="12891" xr:uid="{00000000-0005-0000-0000-00005B320000}"/>
    <cellStyle name="Normal 147 2 3 2" xfId="12892" xr:uid="{00000000-0005-0000-0000-00005C320000}"/>
    <cellStyle name="Normal 147 2 3 2 2" xfId="12893" xr:uid="{00000000-0005-0000-0000-00005D320000}"/>
    <cellStyle name="Normal 147 2 3 3" xfId="12894" xr:uid="{00000000-0005-0000-0000-00005E320000}"/>
    <cellStyle name="Normal 147 2 4" xfId="12895" xr:uid="{00000000-0005-0000-0000-00005F320000}"/>
    <cellStyle name="Normal 147 2 4 2" xfId="12896" xr:uid="{00000000-0005-0000-0000-000060320000}"/>
    <cellStyle name="Normal 147 2 4 2 2" xfId="12897" xr:uid="{00000000-0005-0000-0000-000061320000}"/>
    <cellStyle name="Normal 147 2 4 3" xfId="12898" xr:uid="{00000000-0005-0000-0000-000062320000}"/>
    <cellStyle name="Normal 147 2 5" xfId="12899" xr:uid="{00000000-0005-0000-0000-000063320000}"/>
    <cellStyle name="Normal 147 3" xfId="12900" xr:uid="{00000000-0005-0000-0000-000064320000}"/>
    <cellStyle name="Normal 147 3 2" xfId="12901" xr:uid="{00000000-0005-0000-0000-000065320000}"/>
    <cellStyle name="Normal 147 3 2 2" xfId="12902" xr:uid="{00000000-0005-0000-0000-000066320000}"/>
    <cellStyle name="Normal 147 3 2 2 2" xfId="12903" xr:uid="{00000000-0005-0000-0000-000067320000}"/>
    <cellStyle name="Normal 147 3 2 3" xfId="12904" xr:uid="{00000000-0005-0000-0000-000068320000}"/>
    <cellStyle name="Normal 147 3 2 3 2" xfId="12905" xr:uid="{00000000-0005-0000-0000-000069320000}"/>
    <cellStyle name="Normal 147 3 2 3 2 2" xfId="12906" xr:uid="{00000000-0005-0000-0000-00006A320000}"/>
    <cellStyle name="Normal 147 3 2 3 3" xfId="12907" xr:uid="{00000000-0005-0000-0000-00006B320000}"/>
    <cellStyle name="Normal 147 3 2 4" xfId="12908" xr:uid="{00000000-0005-0000-0000-00006C320000}"/>
    <cellStyle name="Normal 147 3 3" xfId="12909" xr:uid="{00000000-0005-0000-0000-00006D320000}"/>
    <cellStyle name="Normal 147 3 3 2" xfId="12910" xr:uid="{00000000-0005-0000-0000-00006E320000}"/>
    <cellStyle name="Normal 147 3 3 2 2" xfId="12911" xr:uid="{00000000-0005-0000-0000-00006F320000}"/>
    <cellStyle name="Normal 147 3 3 3" xfId="12912" xr:uid="{00000000-0005-0000-0000-000070320000}"/>
    <cellStyle name="Normal 147 3 4" xfId="12913" xr:uid="{00000000-0005-0000-0000-000071320000}"/>
    <cellStyle name="Normal 147 3 4 2" xfId="12914" xr:uid="{00000000-0005-0000-0000-000072320000}"/>
    <cellStyle name="Normal 147 3 4 2 2" xfId="12915" xr:uid="{00000000-0005-0000-0000-000073320000}"/>
    <cellStyle name="Normal 147 3 4 3" xfId="12916" xr:uid="{00000000-0005-0000-0000-000074320000}"/>
    <cellStyle name="Normal 147 3 5" xfId="12917" xr:uid="{00000000-0005-0000-0000-000075320000}"/>
    <cellStyle name="Normal 147 3 5 2" xfId="12918" xr:uid="{00000000-0005-0000-0000-000076320000}"/>
    <cellStyle name="Normal 147 3 5 2 2" xfId="12919" xr:uid="{00000000-0005-0000-0000-000077320000}"/>
    <cellStyle name="Normal 147 3 5 3" xfId="12920" xr:uid="{00000000-0005-0000-0000-000078320000}"/>
    <cellStyle name="Normal 147 3 6" xfId="12921" xr:uid="{00000000-0005-0000-0000-000079320000}"/>
    <cellStyle name="Normal 147 4" xfId="12922" xr:uid="{00000000-0005-0000-0000-00007A320000}"/>
    <cellStyle name="Normal 147 4 2" xfId="12923" xr:uid="{00000000-0005-0000-0000-00007B320000}"/>
    <cellStyle name="Normal 147 4 2 2" xfId="12924" xr:uid="{00000000-0005-0000-0000-00007C320000}"/>
    <cellStyle name="Normal 147 4 3" xfId="12925" xr:uid="{00000000-0005-0000-0000-00007D320000}"/>
    <cellStyle name="Normal 147 5" xfId="12926" xr:uid="{00000000-0005-0000-0000-00007E320000}"/>
    <cellStyle name="Normal 147 5 2" xfId="12927" xr:uid="{00000000-0005-0000-0000-00007F320000}"/>
    <cellStyle name="Normal 147 5 2 2" xfId="12928" xr:uid="{00000000-0005-0000-0000-000080320000}"/>
    <cellStyle name="Normal 147 5 3" xfId="12929" xr:uid="{00000000-0005-0000-0000-000081320000}"/>
    <cellStyle name="Normal 147 6" xfId="12930" xr:uid="{00000000-0005-0000-0000-000082320000}"/>
    <cellStyle name="Normal 147 6 2" xfId="12931" xr:uid="{00000000-0005-0000-0000-000083320000}"/>
    <cellStyle name="Normal 147 6 2 2" xfId="12932" xr:uid="{00000000-0005-0000-0000-000084320000}"/>
    <cellStyle name="Normal 147 6 3" xfId="12933" xr:uid="{00000000-0005-0000-0000-000085320000}"/>
    <cellStyle name="Normal 147 7" xfId="12934" xr:uid="{00000000-0005-0000-0000-000086320000}"/>
    <cellStyle name="Normal 148" xfId="12935" xr:uid="{00000000-0005-0000-0000-000087320000}"/>
    <cellStyle name="Normal 148 2" xfId="12936" xr:uid="{00000000-0005-0000-0000-000088320000}"/>
    <cellStyle name="Normal 148 2 2" xfId="12937" xr:uid="{00000000-0005-0000-0000-000089320000}"/>
    <cellStyle name="Normal 148 2 2 2" xfId="12938" xr:uid="{00000000-0005-0000-0000-00008A320000}"/>
    <cellStyle name="Normal 148 2 3" xfId="12939" xr:uid="{00000000-0005-0000-0000-00008B320000}"/>
    <cellStyle name="Normal 148 2 3 2" xfId="12940" xr:uid="{00000000-0005-0000-0000-00008C320000}"/>
    <cellStyle name="Normal 148 2 3 2 2" xfId="12941" xr:uid="{00000000-0005-0000-0000-00008D320000}"/>
    <cellStyle name="Normal 148 2 3 3" xfId="12942" xr:uid="{00000000-0005-0000-0000-00008E320000}"/>
    <cellStyle name="Normal 148 2 4" xfId="12943" xr:uid="{00000000-0005-0000-0000-00008F320000}"/>
    <cellStyle name="Normal 148 2 4 2" xfId="12944" xr:uid="{00000000-0005-0000-0000-000090320000}"/>
    <cellStyle name="Normal 148 2 4 2 2" xfId="12945" xr:uid="{00000000-0005-0000-0000-000091320000}"/>
    <cellStyle name="Normal 148 2 4 3" xfId="12946" xr:uid="{00000000-0005-0000-0000-000092320000}"/>
    <cellStyle name="Normal 148 2 5" xfId="12947" xr:uid="{00000000-0005-0000-0000-000093320000}"/>
    <cellStyle name="Normal 148 3" xfId="12948" xr:uid="{00000000-0005-0000-0000-000094320000}"/>
    <cellStyle name="Normal 148 3 2" xfId="12949" xr:uid="{00000000-0005-0000-0000-000095320000}"/>
    <cellStyle name="Normal 148 3 2 2" xfId="12950" xr:uid="{00000000-0005-0000-0000-000096320000}"/>
    <cellStyle name="Normal 148 3 2 2 2" xfId="12951" xr:uid="{00000000-0005-0000-0000-000097320000}"/>
    <cellStyle name="Normal 148 3 2 3" xfId="12952" xr:uid="{00000000-0005-0000-0000-000098320000}"/>
    <cellStyle name="Normal 148 3 2 3 2" xfId="12953" xr:uid="{00000000-0005-0000-0000-000099320000}"/>
    <cellStyle name="Normal 148 3 2 3 2 2" xfId="12954" xr:uid="{00000000-0005-0000-0000-00009A320000}"/>
    <cellStyle name="Normal 148 3 2 3 3" xfId="12955" xr:uid="{00000000-0005-0000-0000-00009B320000}"/>
    <cellStyle name="Normal 148 3 2 4" xfId="12956" xr:uid="{00000000-0005-0000-0000-00009C320000}"/>
    <cellStyle name="Normal 148 3 3" xfId="12957" xr:uid="{00000000-0005-0000-0000-00009D320000}"/>
    <cellStyle name="Normal 148 3 3 2" xfId="12958" xr:uid="{00000000-0005-0000-0000-00009E320000}"/>
    <cellStyle name="Normal 148 3 3 2 2" xfId="12959" xr:uid="{00000000-0005-0000-0000-00009F320000}"/>
    <cellStyle name="Normal 148 3 3 3" xfId="12960" xr:uid="{00000000-0005-0000-0000-0000A0320000}"/>
    <cellStyle name="Normal 148 3 4" xfId="12961" xr:uid="{00000000-0005-0000-0000-0000A1320000}"/>
    <cellStyle name="Normal 148 3 4 2" xfId="12962" xr:uid="{00000000-0005-0000-0000-0000A2320000}"/>
    <cellStyle name="Normal 148 3 4 2 2" xfId="12963" xr:uid="{00000000-0005-0000-0000-0000A3320000}"/>
    <cellStyle name="Normal 148 3 4 3" xfId="12964" xr:uid="{00000000-0005-0000-0000-0000A4320000}"/>
    <cellStyle name="Normal 148 3 5" xfId="12965" xr:uid="{00000000-0005-0000-0000-0000A5320000}"/>
    <cellStyle name="Normal 148 3 5 2" xfId="12966" xr:uid="{00000000-0005-0000-0000-0000A6320000}"/>
    <cellStyle name="Normal 148 3 5 2 2" xfId="12967" xr:uid="{00000000-0005-0000-0000-0000A7320000}"/>
    <cellStyle name="Normal 148 3 5 3" xfId="12968" xr:uid="{00000000-0005-0000-0000-0000A8320000}"/>
    <cellStyle name="Normal 148 3 6" xfId="12969" xr:uid="{00000000-0005-0000-0000-0000A9320000}"/>
    <cellStyle name="Normal 148 4" xfId="12970" xr:uid="{00000000-0005-0000-0000-0000AA320000}"/>
    <cellStyle name="Normal 148 4 2" xfId="12971" xr:uid="{00000000-0005-0000-0000-0000AB320000}"/>
    <cellStyle name="Normal 148 4 2 2" xfId="12972" xr:uid="{00000000-0005-0000-0000-0000AC320000}"/>
    <cellStyle name="Normal 148 4 3" xfId="12973" xr:uid="{00000000-0005-0000-0000-0000AD320000}"/>
    <cellStyle name="Normal 148 5" xfId="12974" xr:uid="{00000000-0005-0000-0000-0000AE320000}"/>
    <cellStyle name="Normal 148 5 2" xfId="12975" xr:uid="{00000000-0005-0000-0000-0000AF320000}"/>
    <cellStyle name="Normal 148 5 2 2" xfId="12976" xr:uid="{00000000-0005-0000-0000-0000B0320000}"/>
    <cellStyle name="Normal 148 5 3" xfId="12977" xr:uid="{00000000-0005-0000-0000-0000B1320000}"/>
    <cellStyle name="Normal 148 6" xfId="12978" xr:uid="{00000000-0005-0000-0000-0000B2320000}"/>
    <cellStyle name="Normal 148 6 2" xfId="12979" xr:uid="{00000000-0005-0000-0000-0000B3320000}"/>
    <cellStyle name="Normal 148 6 2 2" xfId="12980" xr:uid="{00000000-0005-0000-0000-0000B4320000}"/>
    <cellStyle name="Normal 148 6 3" xfId="12981" xr:uid="{00000000-0005-0000-0000-0000B5320000}"/>
    <cellStyle name="Normal 148 7" xfId="12982" xr:uid="{00000000-0005-0000-0000-0000B6320000}"/>
    <cellStyle name="Normal 149" xfId="12983" xr:uid="{00000000-0005-0000-0000-0000B7320000}"/>
    <cellStyle name="Normal 149 2" xfId="12984" xr:uid="{00000000-0005-0000-0000-0000B8320000}"/>
    <cellStyle name="Normal 149 2 2" xfId="12985" xr:uid="{00000000-0005-0000-0000-0000B9320000}"/>
    <cellStyle name="Normal 149 2 2 2" xfId="12986" xr:uid="{00000000-0005-0000-0000-0000BA320000}"/>
    <cellStyle name="Normal 149 2 3" xfId="12987" xr:uid="{00000000-0005-0000-0000-0000BB320000}"/>
    <cellStyle name="Normal 149 2 3 2" xfId="12988" xr:uid="{00000000-0005-0000-0000-0000BC320000}"/>
    <cellStyle name="Normal 149 2 3 2 2" xfId="12989" xr:uid="{00000000-0005-0000-0000-0000BD320000}"/>
    <cellStyle name="Normal 149 2 3 3" xfId="12990" xr:uid="{00000000-0005-0000-0000-0000BE320000}"/>
    <cellStyle name="Normal 149 2 4" xfId="12991" xr:uid="{00000000-0005-0000-0000-0000BF320000}"/>
    <cellStyle name="Normal 149 2 4 2" xfId="12992" xr:uid="{00000000-0005-0000-0000-0000C0320000}"/>
    <cellStyle name="Normal 149 2 4 2 2" xfId="12993" xr:uid="{00000000-0005-0000-0000-0000C1320000}"/>
    <cellStyle name="Normal 149 2 4 3" xfId="12994" xr:uid="{00000000-0005-0000-0000-0000C2320000}"/>
    <cellStyle name="Normal 149 2 5" xfId="12995" xr:uid="{00000000-0005-0000-0000-0000C3320000}"/>
    <cellStyle name="Normal 149 3" xfId="12996" xr:uid="{00000000-0005-0000-0000-0000C4320000}"/>
    <cellStyle name="Normal 149 3 2" xfId="12997" xr:uid="{00000000-0005-0000-0000-0000C5320000}"/>
    <cellStyle name="Normal 149 3 2 2" xfId="12998" xr:uid="{00000000-0005-0000-0000-0000C6320000}"/>
    <cellStyle name="Normal 149 3 2 2 2" xfId="12999" xr:uid="{00000000-0005-0000-0000-0000C7320000}"/>
    <cellStyle name="Normal 149 3 2 3" xfId="13000" xr:uid="{00000000-0005-0000-0000-0000C8320000}"/>
    <cellStyle name="Normal 149 3 2 3 2" xfId="13001" xr:uid="{00000000-0005-0000-0000-0000C9320000}"/>
    <cellStyle name="Normal 149 3 2 3 2 2" xfId="13002" xr:uid="{00000000-0005-0000-0000-0000CA320000}"/>
    <cellStyle name="Normal 149 3 2 3 3" xfId="13003" xr:uid="{00000000-0005-0000-0000-0000CB320000}"/>
    <cellStyle name="Normal 149 3 2 4" xfId="13004" xr:uid="{00000000-0005-0000-0000-0000CC320000}"/>
    <cellStyle name="Normal 149 3 3" xfId="13005" xr:uid="{00000000-0005-0000-0000-0000CD320000}"/>
    <cellStyle name="Normal 149 3 3 2" xfId="13006" xr:uid="{00000000-0005-0000-0000-0000CE320000}"/>
    <cellStyle name="Normal 149 3 3 2 2" xfId="13007" xr:uid="{00000000-0005-0000-0000-0000CF320000}"/>
    <cellStyle name="Normal 149 3 3 3" xfId="13008" xr:uid="{00000000-0005-0000-0000-0000D0320000}"/>
    <cellStyle name="Normal 149 3 4" xfId="13009" xr:uid="{00000000-0005-0000-0000-0000D1320000}"/>
    <cellStyle name="Normal 149 3 4 2" xfId="13010" xr:uid="{00000000-0005-0000-0000-0000D2320000}"/>
    <cellStyle name="Normal 149 3 4 2 2" xfId="13011" xr:uid="{00000000-0005-0000-0000-0000D3320000}"/>
    <cellStyle name="Normal 149 3 4 3" xfId="13012" xr:uid="{00000000-0005-0000-0000-0000D4320000}"/>
    <cellStyle name="Normal 149 3 5" xfId="13013" xr:uid="{00000000-0005-0000-0000-0000D5320000}"/>
    <cellStyle name="Normal 149 3 5 2" xfId="13014" xr:uid="{00000000-0005-0000-0000-0000D6320000}"/>
    <cellStyle name="Normal 149 3 5 2 2" xfId="13015" xr:uid="{00000000-0005-0000-0000-0000D7320000}"/>
    <cellStyle name="Normal 149 3 5 3" xfId="13016" xr:uid="{00000000-0005-0000-0000-0000D8320000}"/>
    <cellStyle name="Normal 149 3 6" xfId="13017" xr:uid="{00000000-0005-0000-0000-0000D9320000}"/>
    <cellStyle name="Normal 149 4" xfId="13018" xr:uid="{00000000-0005-0000-0000-0000DA320000}"/>
    <cellStyle name="Normal 149 4 2" xfId="13019" xr:uid="{00000000-0005-0000-0000-0000DB320000}"/>
    <cellStyle name="Normal 149 4 2 2" xfId="13020" xr:uid="{00000000-0005-0000-0000-0000DC320000}"/>
    <cellStyle name="Normal 149 4 3" xfId="13021" xr:uid="{00000000-0005-0000-0000-0000DD320000}"/>
    <cellStyle name="Normal 149 5" xfId="13022" xr:uid="{00000000-0005-0000-0000-0000DE320000}"/>
    <cellStyle name="Normal 149 5 2" xfId="13023" xr:uid="{00000000-0005-0000-0000-0000DF320000}"/>
    <cellStyle name="Normal 149 5 2 2" xfId="13024" xr:uid="{00000000-0005-0000-0000-0000E0320000}"/>
    <cellStyle name="Normal 149 5 3" xfId="13025" xr:uid="{00000000-0005-0000-0000-0000E1320000}"/>
    <cellStyle name="Normal 149 6" xfId="13026" xr:uid="{00000000-0005-0000-0000-0000E2320000}"/>
    <cellStyle name="Normal 149 6 2" xfId="13027" xr:uid="{00000000-0005-0000-0000-0000E3320000}"/>
    <cellStyle name="Normal 149 6 2 2" xfId="13028" xr:uid="{00000000-0005-0000-0000-0000E4320000}"/>
    <cellStyle name="Normal 149 6 3" xfId="13029" xr:uid="{00000000-0005-0000-0000-0000E5320000}"/>
    <cellStyle name="Normal 149 7" xfId="13030" xr:uid="{00000000-0005-0000-0000-0000E6320000}"/>
    <cellStyle name="Normal 15" xfId="13031" xr:uid="{00000000-0005-0000-0000-0000E7320000}"/>
    <cellStyle name="Normal 15 2" xfId="13032" xr:uid="{00000000-0005-0000-0000-0000E8320000}"/>
    <cellStyle name="Normal 15 2 2" xfId="13033" xr:uid="{00000000-0005-0000-0000-0000E9320000}"/>
    <cellStyle name="Normal 15 2 2 2" xfId="13034" xr:uid="{00000000-0005-0000-0000-0000EA320000}"/>
    <cellStyle name="Normal 15 2 2 2 2" xfId="13035" xr:uid="{00000000-0005-0000-0000-0000EB320000}"/>
    <cellStyle name="Normal 15 2 2 3" xfId="13036" xr:uid="{00000000-0005-0000-0000-0000EC320000}"/>
    <cellStyle name="Normal 15 2 2 3 2" xfId="13037" xr:uid="{00000000-0005-0000-0000-0000ED320000}"/>
    <cellStyle name="Normal 15 2 2 3 2 2" xfId="13038" xr:uid="{00000000-0005-0000-0000-0000EE320000}"/>
    <cellStyle name="Normal 15 2 2 3 3" xfId="13039" xr:uid="{00000000-0005-0000-0000-0000EF320000}"/>
    <cellStyle name="Normal 15 2 2 4" xfId="13040" xr:uid="{00000000-0005-0000-0000-0000F0320000}"/>
    <cellStyle name="Normal 15 2 2 4 2" xfId="13041" xr:uid="{00000000-0005-0000-0000-0000F1320000}"/>
    <cellStyle name="Normal 15 2 2 4 2 2" xfId="13042" xr:uid="{00000000-0005-0000-0000-0000F2320000}"/>
    <cellStyle name="Normal 15 2 2 4 3" xfId="13043" xr:uid="{00000000-0005-0000-0000-0000F3320000}"/>
    <cellStyle name="Normal 15 2 2 5" xfId="13044" xr:uid="{00000000-0005-0000-0000-0000F4320000}"/>
    <cellStyle name="Normal 15 2 3" xfId="13045" xr:uid="{00000000-0005-0000-0000-0000F5320000}"/>
    <cellStyle name="Normal 15 2 3 2" xfId="13046" xr:uid="{00000000-0005-0000-0000-0000F6320000}"/>
    <cellStyle name="Normal 15 2 3 2 2" xfId="13047" xr:uid="{00000000-0005-0000-0000-0000F7320000}"/>
    <cellStyle name="Normal 15 2 3 2 2 2" xfId="13048" xr:uid="{00000000-0005-0000-0000-0000F8320000}"/>
    <cellStyle name="Normal 15 2 3 2 3" xfId="13049" xr:uid="{00000000-0005-0000-0000-0000F9320000}"/>
    <cellStyle name="Normal 15 2 3 2 3 2" xfId="13050" xr:uid="{00000000-0005-0000-0000-0000FA320000}"/>
    <cellStyle name="Normal 15 2 3 2 3 2 2" xfId="13051" xr:uid="{00000000-0005-0000-0000-0000FB320000}"/>
    <cellStyle name="Normal 15 2 3 2 3 3" xfId="13052" xr:uid="{00000000-0005-0000-0000-0000FC320000}"/>
    <cellStyle name="Normal 15 2 3 2 4" xfId="13053" xr:uid="{00000000-0005-0000-0000-0000FD320000}"/>
    <cellStyle name="Normal 15 2 3 3" xfId="13054" xr:uid="{00000000-0005-0000-0000-0000FE320000}"/>
    <cellStyle name="Normal 15 2 3 3 2" xfId="13055" xr:uid="{00000000-0005-0000-0000-0000FF320000}"/>
    <cellStyle name="Normal 15 2 3 3 2 2" xfId="13056" xr:uid="{00000000-0005-0000-0000-000000330000}"/>
    <cellStyle name="Normal 15 2 3 3 3" xfId="13057" xr:uid="{00000000-0005-0000-0000-000001330000}"/>
    <cellStyle name="Normal 15 2 3 4" xfId="13058" xr:uid="{00000000-0005-0000-0000-000002330000}"/>
    <cellStyle name="Normal 15 2 3 4 2" xfId="13059" xr:uid="{00000000-0005-0000-0000-000003330000}"/>
    <cellStyle name="Normal 15 2 3 4 2 2" xfId="13060" xr:uid="{00000000-0005-0000-0000-000004330000}"/>
    <cellStyle name="Normal 15 2 3 4 3" xfId="13061" xr:uid="{00000000-0005-0000-0000-000005330000}"/>
    <cellStyle name="Normal 15 2 3 5" xfId="13062" xr:uid="{00000000-0005-0000-0000-000006330000}"/>
    <cellStyle name="Normal 15 2 3 5 2" xfId="13063" xr:uid="{00000000-0005-0000-0000-000007330000}"/>
    <cellStyle name="Normal 15 2 3 5 2 2" xfId="13064" xr:uid="{00000000-0005-0000-0000-000008330000}"/>
    <cellStyle name="Normal 15 2 3 5 3" xfId="13065" xr:uid="{00000000-0005-0000-0000-000009330000}"/>
    <cellStyle name="Normal 15 2 3 6" xfId="13066" xr:uid="{00000000-0005-0000-0000-00000A330000}"/>
    <cellStyle name="Normal 15 2 4" xfId="13067" xr:uid="{00000000-0005-0000-0000-00000B330000}"/>
    <cellStyle name="Normal 15 3" xfId="13068" xr:uid="{00000000-0005-0000-0000-00000C330000}"/>
    <cellStyle name="Normal 15 3 2" xfId="13069" xr:uid="{00000000-0005-0000-0000-00000D330000}"/>
    <cellStyle name="Normal 15 3 2 2" xfId="13070" xr:uid="{00000000-0005-0000-0000-00000E330000}"/>
    <cellStyle name="Normal 15 3 2 2 2" xfId="13071" xr:uid="{00000000-0005-0000-0000-00000F330000}"/>
    <cellStyle name="Normal 15 3 2 3" xfId="13072" xr:uid="{00000000-0005-0000-0000-000010330000}"/>
    <cellStyle name="Normal 15 3 2 3 2" xfId="13073" xr:uid="{00000000-0005-0000-0000-000011330000}"/>
    <cellStyle name="Normal 15 3 2 3 2 2" xfId="13074" xr:uid="{00000000-0005-0000-0000-000012330000}"/>
    <cellStyle name="Normal 15 3 2 3 3" xfId="13075" xr:uid="{00000000-0005-0000-0000-000013330000}"/>
    <cellStyle name="Normal 15 3 2 4" xfId="13076" xr:uid="{00000000-0005-0000-0000-000014330000}"/>
    <cellStyle name="Normal 15 3 2 4 2" xfId="13077" xr:uid="{00000000-0005-0000-0000-000015330000}"/>
    <cellStyle name="Normal 15 3 2 4 2 2" xfId="13078" xr:uid="{00000000-0005-0000-0000-000016330000}"/>
    <cellStyle name="Normal 15 3 2 4 3" xfId="13079" xr:uid="{00000000-0005-0000-0000-000017330000}"/>
    <cellStyle name="Normal 15 3 2 5" xfId="13080" xr:uid="{00000000-0005-0000-0000-000018330000}"/>
    <cellStyle name="Normal 15 3 3" xfId="13081" xr:uid="{00000000-0005-0000-0000-000019330000}"/>
    <cellStyle name="Normal 15 3 3 2" xfId="13082" xr:uid="{00000000-0005-0000-0000-00001A330000}"/>
    <cellStyle name="Normal 15 3 3 2 2" xfId="13083" xr:uid="{00000000-0005-0000-0000-00001B330000}"/>
    <cellStyle name="Normal 15 3 3 3" xfId="13084" xr:uid="{00000000-0005-0000-0000-00001C330000}"/>
    <cellStyle name="Normal 15 3 4" xfId="13085" xr:uid="{00000000-0005-0000-0000-00001D330000}"/>
    <cellStyle name="Normal 15 3 4 2" xfId="13086" xr:uid="{00000000-0005-0000-0000-00001E330000}"/>
    <cellStyle name="Normal 15 3 4 2 2" xfId="13087" xr:uid="{00000000-0005-0000-0000-00001F330000}"/>
    <cellStyle name="Normal 15 3 4 3" xfId="13088" xr:uid="{00000000-0005-0000-0000-000020330000}"/>
    <cellStyle name="Normal 15 3 5" xfId="13089" xr:uid="{00000000-0005-0000-0000-000021330000}"/>
    <cellStyle name="Normal 15 3 5 2" xfId="13090" xr:uid="{00000000-0005-0000-0000-000022330000}"/>
    <cellStyle name="Normal 15 3 5 2 2" xfId="13091" xr:uid="{00000000-0005-0000-0000-000023330000}"/>
    <cellStyle name="Normal 15 3 5 3" xfId="13092" xr:uid="{00000000-0005-0000-0000-000024330000}"/>
    <cellStyle name="Normal 15 3 6" xfId="13093" xr:uid="{00000000-0005-0000-0000-000025330000}"/>
    <cellStyle name="Normal 15 4" xfId="13094" xr:uid="{00000000-0005-0000-0000-000026330000}"/>
    <cellStyle name="Normal 15 4 2" xfId="13095" xr:uid="{00000000-0005-0000-0000-000027330000}"/>
    <cellStyle name="Normal 15 4 2 2" xfId="13096" xr:uid="{00000000-0005-0000-0000-000028330000}"/>
    <cellStyle name="Normal 15 4 3" xfId="13097" xr:uid="{00000000-0005-0000-0000-000029330000}"/>
    <cellStyle name="Normal 15 4 3 2" xfId="13098" xr:uid="{00000000-0005-0000-0000-00002A330000}"/>
    <cellStyle name="Normal 15 4 3 2 2" xfId="13099" xr:uid="{00000000-0005-0000-0000-00002B330000}"/>
    <cellStyle name="Normal 15 4 3 3" xfId="13100" xr:uid="{00000000-0005-0000-0000-00002C330000}"/>
    <cellStyle name="Normal 15 4 4" xfId="13101" xr:uid="{00000000-0005-0000-0000-00002D330000}"/>
    <cellStyle name="Normal 15 4 4 2" xfId="13102" xr:uid="{00000000-0005-0000-0000-00002E330000}"/>
    <cellStyle name="Normal 15 4 4 2 2" xfId="13103" xr:uid="{00000000-0005-0000-0000-00002F330000}"/>
    <cellStyle name="Normal 15 4 4 3" xfId="13104" xr:uid="{00000000-0005-0000-0000-000030330000}"/>
    <cellStyle name="Normal 15 4 5" xfId="13105" xr:uid="{00000000-0005-0000-0000-000031330000}"/>
    <cellStyle name="Normal 15 5" xfId="13106" xr:uid="{00000000-0005-0000-0000-000032330000}"/>
    <cellStyle name="Normal 15 5 2" xfId="13107" xr:uid="{00000000-0005-0000-0000-000033330000}"/>
    <cellStyle name="Normal 15 5 2 2" xfId="13108" xr:uid="{00000000-0005-0000-0000-000034330000}"/>
    <cellStyle name="Normal 15 5 2 2 2" xfId="13109" xr:uid="{00000000-0005-0000-0000-000035330000}"/>
    <cellStyle name="Normal 15 5 2 3" xfId="13110" xr:uid="{00000000-0005-0000-0000-000036330000}"/>
    <cellStyle name="Normal 15 5 2 3 2" xfId="13111" xr:uid="{00000000-0005-0000-0000-000037330000}"/>
    <cellStyle name="Normal 15 5 2 3 2 2" xfId="13112" xr:uid="{00000000-0005-0000-0000-000038330000}"/>
    <cellStyle name="Normal 15 5 2 3 3" xfId="13113" xr:uid="{00000000-0005-0000-0000-000039330000}"/>
    <cellStyle name="Normal 15 5 2 4" xfId="13114" xr:uid="{00000000-0005-0000-0000-00003A330000}"/>
    <cellStyle name="Normal 15 5 3" xfId="13115" xr:uid="{00000000-0005-0000-0000-00003B330000}"/>
    <cellStyle name="Normal 15 5 3 2" xfId="13116" xr:uid="{00000000-0005-0000-0000-00003C330000}"/>
    <cellStyle name="Normal 15 5 3 2 2" xfId="13117" xr:uid="{00000000-0005-0000-0000-00003D330000}"/>
    <cellStyle name="Normal 15 5 3 3" xfId="13118" xr:uid="{00000000-0005-0000-0000-00003E330000}"/>
    <cellStyle name="Normal 15 5 4" xfId="13119" xr:uid="{00000000-0005-0000-0000-00003F330000}"/>
    <cellStyle name="Normal 15 5 4 2" xfId="13120" xr:uid="{00000000-0005-0000-0000-000040330000}"/>
    <cellStyle name="Normal 15 5 4 2 2" xfId="13121" xr:uid="{00000000-0005-0000-0000-000041330000}"/>
    <cellStyle name="Normal 15 5 4 3" xfId="13122" xr:uid="{00000000-0005-0000-0000-000042330000}"/>
    <cellStyle name="Normal 15 5 5" xfId="13123" xr:uid="{00000000-0005-0000-0000-000043330000}"/>
    <cellStyle name="Normal 15 5 5 2" xfId="13124" xr:uid="{00000000-0005-0000-0000-000044330000}"/>
    <cellStyle name="Normal 15 5 5 2 2" xfId="13125" xr:uid="{00000000-0005-0000-0000-000045330000}"/>
    <cellStyle name="Normal 15 5 5 3" xfId="13126" xr:uid="{00000000-0005-0000-0000-000046330000}"/>
    <cellStyle name="Normal 15 5 6" xfId="13127" xr:uid="{00000000-0005-0000-0000-000047330000}"/>
    <cellStyle name="Normal 15 6" xfId="13128" xr:uid="{00000000-0005-0000-0000-000048330000}"/>
    <cellStyle name="Normal 15 6 2" xfId="13129" xr:uid="{00000000-0005-0000-0000-000049330000}"/>
    <cellStyle name="Normal 15 6 2 2" xfId="13130" xr:uid="{00000000-0005-0000-0000-00004A330000}"/>
    <cellStyle name="Normal 15 6 2 2 2" xfId="13131" xr:uid="{00000000-0005-0000-0000-00004B330000}"/>
    <cellStyle name="Normal 15 6 2 3" xfId="13132" xr:uid="{00000000-0005-0000-0000-00004C330000}"/>
    <cellStyle name="Normal 15 6 2 3 2" xfId="13133" xr:uid="{00000000-0005-0000-0000-00004D330000}"/>
    <cellStyle name="Normal 15 6 2 3 2 2" xfId="13134" xr:uid="{00000000-0005-0000-0000-00004E330000}"/>
    <cellStyle name="Normal 15 6 2 3 3" xfId="13135" xr:uid="{00000000-0005-0000-0000-00004F330000}"/>
    <cellStyle name="Normal 15 6 2 4" xfId="13136" xr:uid="{00000000-0005-0000-0000-000050330000}"/>
    <cellStyle name="Normal 15 6 3" xfId="13137" xr:uid="{00000000-0005-0000-0000-000051330000}"/>
    <cellStyle name="Normal 15 6 3 2" xfId="13138" xr:uid="{00000000-0005-0000-0000-000052330000}"/>
    <cellStyle name="Normal 15 6 3 2 2" xfId="13139" xr:uid="{00000000-0005-0000-0000-000053330000}"/>
    <cellStyle name="Normal 15 6 3 3" xfId="13140" xr:uid="{00000000-0005-0000-0000-000054330000}"/>
    <cellStyle name="Normal 15 6 4" xfId="13141" xr:uid="{00000000-0005-0000-0000-000055330000}"/>
    <cellStyle name="Normal 15 6 4 2" xfId="13142" xr:uid="{00000000-0005-0000-0000-000056330000}"/>
    <cellStyle name="Normal 15 6 4 2 2" xfId="13143" xr:uid="{00000000-0005-0000-0000-000057330000}"/>
    <cellStyle name="Normal 15 6 4 3" xfId="13144" xr:uid="{00000000-0005-0000-0000-000058330000}"/>
    <cellStyle name="Normal 15 6 5" xfId="13145" xr:uid="{00000000-0005-0000-0000-000059330000}"/>
    <cellStyle name="Normal 15 7" xfId="13146" xr:uid="{00000000-0005-0000-0000-00005A330000}"/>
    <cellStyle name="Normal 15 8" xfId="13147" xr:uid="{00000000-0005-0000-0000-00005B330000}"/>
    <cellStyle name="Normal 150" xfId="13148" xr:uid="{00000000-0005-0000-0000-00005C330000}"/>
    <cellStyle name="Normal 150 2" xfId="13149" xr:uid="{00000000-0005-0000-0000-00005D330000}"/>
    <cellStyle name="Normal 150 2 2" xfId="13150" xr:uid="{00000000-0005-0000-0000-00005E330000}"/>
    <cellStyle name="Normal 150 2 2 2" xfId="13151" xr:uid="{00000000-0005-0000-0000-00005F330000}"/>
    <cellStyle name="Normal 150 2 3" xfId="13152" xr:uid="{00000000-0005-0000-0000-000060330000}"/>
    <cellStyle name="Normal 150 2 3 2" xfId="13153" xr:uid="{00000000-0005-0000-0000-000061330000}"/>
    <cellStyle name="Normal 150 2 3 2 2" xfId="13154" xr:uid="{00000000-0005-0000-0000-000062330000}"/>
    <cellStyle name="Normal 150 2 3 3" xfId="13155" xr:uid="{00000000-0005-0000-0000-000063330000}"/>
    <cellStyle name="Normal 150 2 4" xfId="13156" xr:uid="{00000000-0005-0000-0000-000064330000}"/>
    <cellStyle name="Normal 150 2 4 2" xfId="13157" xr:uid="{00000000-0005-0000-0000-000065330000}"/>
    <cellStyle name="Normal 150 2 4 2 2" xfId="13158" xr:uid="{00000000-0005-0000-0000-000066330000}"/>
    <cellStyle name="Normal 150 2 4 3" xfId="13159" xr:uid="{00000000-0005-0000-0000-000067330000}"/>
    <cellStyle name="Normal 150 2 5" xfId="13160" xr:uid="{00000000-0005-0000-0000-000068330000}"/>
    <cellStyle name="Normal 150 3" xfId="13161" xr:uid="{00000000-0005-0000-0000-000069330000}"/>
    <cellStyle name="Normal 150 3 2" xfId="13162" xr:uid="{00000000-0005-0000-0000-00006A330000}"/>
    <cellStyle name="Normal 150 3 2 2" xfId="13163" xr:uid="{00000000-0005-0000-0000-00006B330000}"/>
    <cellStyle name="Normal 150 3 2 2 2" xfId="13164" xr:uid="{00000000-0005-0000-0000-00006C330000}"/>
    <cellStyle name="Normal 150 3 2 3" xfId="13165" xr:uid="{00000000-0005-0000-0000-00006D330000}"/>
    <cellStyle name="Normal 150 3 2 3 2" xfId="13166" xr:uid="{00000000-0005-0000-0000-00006E330000}"/>
    <cellStyle name="Normal 150 3 2 3 2 2" xfId="13167" xr:uid="{00000000-0005-0000-0000-00006F330000}"/>
    <cellStyle name="Normal 150 3 2 3 3" xfId="13168" xr:uid="{00000000-0005-0000-0000-000070330000}"/>
    <cellStyle name="Normal 150 3 2 4" xfId="13169" xr:uid="{00000000-0005-0000-0000-000071330000}"/>
    <cellStyle name="Normal 150 3 3" xfId="13170" xr:uid="{00000000-0005-0000-0000-000072330000}"/>
    <cellStyle name="Normal 150 3 3 2" xfId="13171" xr:uid="{00000000-0005-0000-0000-000073330000}"/>
    <cellStyle name="Normal 150 3 3 2 2" xfId="13172" xr:uid="{00000000-0005-0000-0000-000074330000}"/>
    <cellStyle name="Normal 150 3 3 3" xfId="13173" xr:uid="{00000000-0005-0000-0000-000075330000}"/>
    <cellStyle name="Normal 150 3 4" xfId="13174" xr:uid="{00000000-0005-0000-0000-000076330000}"/>
    <cellStyle name="Normal 150 3 4 2" xfId="13175" xr:uid="{00000000-0005-0000-0000-000077330000}"/>
    <cellStyle name="Normal 150 3 4 2 2" xfId="13176" xr:uid="{00000000-0005-0000-0000-000078330000}"/>
    <cellStyle name="Normal 150 3 4 3" xfId="13177" xr:uid="{00000000-0005-0000-0000-000079330000}"/>
    <cellStyle name="Normal 150 3 5" xfId="13178" xr:uid="{00000000-0005-0000-0000-00007A330000}"/>
    <cellStyle name="Normal 150 3 5 2" xfId="13179" xr:uid="{00000000-0005-0000-0000-00007B330000}"/>
    <cellStyle name="Normal 150 3 5 2 2" xfId="13180" xr:uid="{00000000-0005-0000-0000-00007C330000}"/>
    <cellStyle name="Normal 150 3 5 3" xfId="13181" xr:uid="{00000000-0005-0000-0000-00007D330000}"/>
    <cellStyle name="Normal 150 3 6" xfId="13182" xr:uid="{00000000-0005-0000-0000-00007E330000}"/>
    <cellStyle name="Normal 150 4" xfId="13183" xr:uid="{00000000-0005-0000-0000-00007F330000}"/>
    <cellStyle name="Normal 150 4 2" xfId="13184" xr:uid="{00000000-0005-0000-0000-000080330000}"/>
    <cellStyle name="Normal 150 4 2 2" xfId="13185" xr:uid="{00000000-0005-0000-0000-000081330000}"/>
    <cellStyle name="Normal 150 4 3" xfId="13186" xr:uid="{00000000-0005-0000-0000-000082330000}"/>
    <cellStyle name="Normal 150 5" xfId="13187" xr:uid="{00000000-0005-0000-0000-000083330000}"/>
    <cellStyle name="Normal 150 5 2" xfId="13188" xr:uid="{00000000-0005-0000-0000-000084330000}"/>
    <cellStyle name="Normal 150 5 2 2" xfId="13189" xr:uid="{00000000-0005-0000-0000-000085330000}"/>
    <cellStyle name="Normal 150 5 3" xfId="13190" xr:uid="{00000000-0005-0000-0000-000086330000}"/>
    <cellStyle name="Normal 150 6" xfId="13191" xr:uid="{00000000-0005-0000-0000-000087330000}"/>
    <cellStyle name="Normal 150 6 2" xfId="13192" xr:uid="{00000000-0005-0000-0000-000088330000}"/>
    <cellStyle name="Normal 150 6 2 2" xfId="13193" xr:uid="{00000000-0005-0000-0000-000089330000}"/>
    <cellStyle name="Normal 150 6 3" xfId="13194" xr:uid="{00000000-0005-0000-0000-00008A330000}"/>
    <cellStyle name="Normal 150 7" xfId="13195" xr:uid="{00000000-0005-0000-0000-00008B330000}"/>
    <cellStyle name="Normal 151" xfId="13196" xr:uid="{00000000-0005-0000-0000-00008C330000}"/>
    <cellStyle name="Normal 151 2" xfId="13197" xr:uid="{00000000-0005-0000-0000-00008D330000}"/>
    <cellStyle name="Normal 151 2 2" xfId="13198" xr:uid="{00000000-0005-0000-0000-00008E330000}"/>
    <cellStyle name="Normal 151 2 2 2" xfId="13199" xr:uid="{00000000-0005-0000-0000-00008F330000}"/>
    <cellStyle name="Normal 151 2 3" xfId="13200" xr:uid="{00000000-0005-0000-0000-000090330000}"/>
    <cellStyle name="Normal 151 2 3 2" xfId="13201" xr:uid="{00000000-0005-0000-0000-000091330000}"/>
    <cellStyle name="Normal 151 2 3 2 2" xfId="13202" xr:uid="{00000000-0005-0000-0000-000092330000}"/>
    <cellStyle name="Normal 151 2 3 3" xfId="13203" xr:uid="{00000000-0005-0000-0000-000093330000}"/>
    <cellStyle name="Normal 151 2 4" xfId="13204" xr:uid="{00000000-0005-0000-0000-000094330000}"/>
    <cellStyle name="Normal 151 2 4 2" xfId="13205" xr:uid="{00000000-0005-0000-0000-000095330000}"/>
    <cellStyle name="Normal 151 2 4 2 2" xfId="13206" xr:uid="{00000000-0005-0000-0000-000096330000}"/>
    <cellStyle name="Normal 151 2 4 3" xfId="13207" xr:uid="{00000000-0005-0000-0000-000097330000}"/>
    <cellStyle name="Normal 151 2 5" xfId="13208" xr:uid="{00000000-0005-0000-0000-000098330000}"/>
    <cellStyle name="Normal 151 3" xfId="13209" xr:uid="{00000000-0005-0000-0000-000099330000}"/>
    <cellStyle name="Normal 151 3 2" xfId="13210" xr:uid="{00000000-0005-0000-0000-00009A330000}"/>
    <cellStyle name="Normal 151 3 2 2" xfId="13211" xr:uid="{00000000-0005-0000-0000-00009B330000}"/>
    <cellStyle name="Normal 151 3 2 2 2" xfId="13212" xr:uid="{00000000-0005-0000-0000-00009C330000}"/>
    <cellStyle name="Normal 151 3 2 3" xfId="13213" xr:uid="{00000000-0005-0000-0000-00009D330000}"/>
    <cellStyle name="Normal 151 3 2 3 2" xfId="13214" xr:uid="{00000000-0005-0000-0000-00009E330000}"/>
    <cellStyle name="Normal 151 3 2 3 2 2" xfId="13215" xr:uid="{00000000-0005-0000-0000-00009F330000}"/>
    <cellStyle name="Normal 151 3 2 3 3" xfId="13216" xr:uid="{00000000-0005-0000-0000-0000A0330000}"/>
    <cellStyle name="Normal 151 3 2 4" xfId="13217" xr:uid="{00000000-0005-0000-0000-0000A1330000}"/>
    <cellStyle name="Normal 151 3 3" xfId="13218" xr:uid="{00000000-0005-0000-0000-0000A2330000}"/>
    <cellStyle name="Normal 151 3 3 2" xfId="13219" xr:uid="{00000000-0005-0000-0000-0000A3330000}"/>
    <cellStyle name="Normal 151 3 3 2 2" xfId="13220" xr:uid="{00000000-0005-0000-0000-0000A4330000}"/>
    <cellStyle name="Normal 151 3 3 3" xfId="13221" xr:uid="{00000000-0005-0000-0000-0000A5330000}"/>
    <cellStyle name="Normal 151 3 4" xfId="13222" xr:uid="{00000000-0005-0000-0000-0000A6330000}"/>
    <cellStyle name="Normal 151 3 4 2" xfId="13223" xr:uid="{00000000-0005-0000-0000-0000A7330000}"/>
    <cellStyle name="Normal 151 3 4 2 2" xfId="13224" xr:uid="{00000000-0005-0000-0000-0000A8330000}"/>
    <cellStyle name="Normal 151 3 4 3" xfId="13225" xr:uid="{00000000-0005-0000-0000-0000A9330000}"/>
    <cellStyle name="Normal 151 3 5" xfId="13226" xr:uid="{00000000-0005-0000-0000-0000AA330000}"/>
    <cellStyle name="Normal 151 3 5 2" xfId="13227" xr:uid="{00000000-0005-0000-0000-0000AB330000}"/>
    <cellStyle name="Normal 151 3 5 2 2" xfId="13228" xr:uid="{00000000-0005-0000-0000-0000AC330000}"/>
    <cellStyle name="Normal 151 3 5 3" xfId="13229" xr:uid="{00000000-0005-0000-0000-0000AD330000}"/>
    <cellStyle name="Normal 151 3 6" xfId="13230" xr:uid="{00000000-0005-0000-0000-0000AE330000}"/>
    <cellStyle name="Normal 151 4" xfId="13231" xr:uid="{00000000-0005-0000-0000-0000AF330000}"/>
    <cellStyle name="Normal 151 4 2" xfId="13232" xr:uid="{00000000-0005-0000-0000-0000B0330000}"/>
    <cellStyle name="Normal 151 4 2 2" xfId="13233" xr:uid="{00000000-0005-0000-0000-0000B1330000}"/>
    <cellStyle name="Normal 151 4 3" xfId="13234" xr:uid="{00000000-0005-0000-0000-0000B2330000}"/>
    <cellStyle name="Normal 151 5" xfId="13235" xr:uid="{00000000-0005-0000-0000-0000B3330000}"/>
    <cellStyle name="Normal 151 5 2" xfId="13236" xr:uid="{00000000-0005-0000-0000-0000B4330000}"/>
    <cellStyle name="Normal 151 5 2 2" xfId="13237" xr:uid="{00000000-0005-0000-0000-0000B5330000}"/>
    <cellStyle name="Normal 151 5 3" xfId="13238" xr:uid="{00000000-0005-0000-0000-0000B6330000}"/>
    <cellStyle name="Normal 151 6" xfId="13239" xr:uid="{00000000-0005-0000-0000-0000B7330000}"/>
    <cellStyle name="Normal 151 6 2" xfId="13240" xr:uid="{00000000-0005-0000-0000-0000B8330000}"/>
    <cellStyle name="Normal 151 6 2 2" xfId="13241" xr:uid="{00000000-0005-0000-0000-0000B9330000}"/>
    <cellStyle name="Normal 151 6 3" xfId="13242" xr:uid="{00000000-0005-0000-0000-0000BA330000}"/>
    <cellStyle name="Normal 151 7" xfId="13243" xr:uid="{00000000-0005-0000-0000-0000BB330000}"/>
    <cellStyle name="Normal 152" xfId="13244" xr:uid="{00000000-0005-0000-0000-0000BC330000}"/>
    <cellStyle name="Normal 152 2" xfId="13245" xr:uid="{00000000-0005-0000-0000-0000BD330000}"/>
    <cellStyle name="Normal 152 2 2" xfId="13246" xr:uid="{00000000-0005-0000-0000-0000BE330000}"/>
    <cellStyle name="Normal 152 2 2 2" xfId="13247" xr:uid="{00000000-0005-0000-0000-0000BF330000}"/>
    <cellStyle name="Normal 152 2 3" xfId="13248" xr:uid="{00000000-0005-0000-0000-0000C0330000}"/>
    <cellStyle name="Normal 152 2 3 2" xfId="13249" xr:uid="{00000000-0005-0000-0000-0000C1330000}"/>
    <cellStyle name="Normal 152 2 3 2 2" xfId="13250" xr:uid="{00000000-0005-0000-0000-0000C2330000}"/>
    <cellStyle name="Normal 152 2 3 3" xfId="13251" xr:uid="{00000000-0005-0000-0000-0000C3330000}"/>
    <cellStyle name="Normal 152 2 4" xfId="13252" xr:uid="{00000000-0005-0000-0000-0000C4330000}"/>
    <cellStyle name="Normal 152 2 4 2" xfId="13253" xr:uid="{00000000-0005-0000-0000-0000C5330000}"/>
    <cellStyle name="Normal 152 2 4 2 2" xfId="13254" xr:uid="{00000000-0005-0000-0000-0000C6330000}"/>
    <cellStyle name="Normal 152 2 4 3" xfId="13255" xr:uid="{00000000-0005-0000-0000-0000C7330000}"/>
    <cellStyle name="Normal 152 2 5" xfId="13256" xr:uid="{00000000-0005-0000-0000-0000C8330000}"/>
    <cellStyle name="Normal 152 3" xfId="13257" xr:uid="{00000000-0005-0000-0000-0000C9330000}"/>
    <cellStyle name="Normal 152 3 2" xfId="13258" xr:uid="{00000000-0005-0000-0000-0000CA330000}"/>
    <cellStyle name="Normal 152 3 2 2" xfId="13259" xr:uid="{00000000-0005-0000-0000-0000CB330000}"/>
    <cellStyle name="Normal 152 3 2 2 2" xfId="13260" xr:uid="{00000000-0005-0000-0000-0000CC330000}"/>
    <cellStyle name="Normal 152 3 2 3" xfId="13261" xr:uid="{00000000-0005-0000-0000-0000CD330000}"/>
    <cellStyle name="Normal 152 3 2 3 2" xfId="13262" xr:uid="{00000000-0005-0000-0000-0000CE330000}"/>
    <cellStyle name="Normal 152 3 2 3 2 2" xfId="13263" xr:uid="{00000000-0005-0000-0000-0000CF330000}"/>
    <cellStyle name="Normal 152 3 2 3 3" xfId="13264" xr:uid="{00000000-0005-0000-0000-0000D0330000}"/>
    <cellStyle name="Normal 152 3 2 4" xfId="13265" xr:uid="{00000000-0005-0000-0000-0000D1330000}"/>
    <cellStyle name="Normal 152 3 3" xfId="13266" xr:uid="{00000000-0005-0000-0000-0000D2330000}"/>
    <cellStyle name="Normal 152 3 3 2" xfId="13267" xr:uid="{00000000-0005-0000-0000-0000D3330000}"/>
    <cellStyle name="Normal 152 3 3 2 2" xfId="13268" xr:uid="{00000000-0005-0000-0000-0000D4330000}"/>
    <cellStyle name="Normal 152 3 3 3" xfId="13269" xr:uid="{00000000-0005-0000-0000-0000D5330000}"/>
    <cellStyle name="Normal 152 3 4" xfId="13270" xr:uid="{00000000-0005-0000-0000-0000D6330000}"/>
    <cellStyle name="Normal 152 3 4 2" xfId="13271" xr:uid="{00000000-0005-0000-0000-0000D7330000}"/>
    <cellStyle name="Normal 152 3 4 2 2" xfId="13272" xr:uid="{00000000-0005-0000-0000-0000D8330000}"/>
    <cellStyle name="Normal 152 3 4 3" xfId="13273" xr:uid="{00000000-0005-0000-0000-0000D9330000}"/>
    <cellStyle name="Normal 152 3 5" xfId="13274" xr:uid="{00000000-0005-0000-0000-0000DA330000}"/>
    <cellStyle name="Normal 152 3 5 2" xfId="13275" xr:uid="{00000000-0005-0000-0000-0000DB330000}"/>
    <cellStyle name="Normal 152 3 5 2 2" xfId="13276" xr:uid="{00000000-0005-0000-0000-0000DC330000}"/>
    <cellStyle name="Normal 152 3 5 3" xfId="13277" xr:uid="{00000000-0005-0000-0000-0000DD330000}"/>
    <cellStyle name="Normal 152 3 6" xfId="13278" xr:uid="{00000000-0005-0000-0000-0000DE330000}"/>
    <cellStyle name="Normal 152 4" xfId="13279" xr:uid="{00000000-0005-0000-0000-0000DF330000}"/>
    <cellStyle name="Normal 152 4 2" xfId="13280" xr:uid="{00000000-0005-0000-0000-0000E0330000}"/>
    <cellStyle name="Normal 152 4 2 2" xfId="13281" xr:uid="{00000000-0005-0000-0000-0000E1330000}"/>
    <cellStyle name="Normal 152 4 3" xfId="13282" xr:uid="{00000000-0005-0000-0000-0000E2330000}"/>
    <cellStyle name="Normal 152 5" xfId="13283" xr:uid="{00000000-0005-0000-0000-0000E3330000}"/>
    <cellStyle name="Normal 152 5 2" xfId="13284" xr:uid="{00000000-0005-0000-0000-0000E4330000}"/>
    <cellStyle name="Normal 152 5 2 2" xfId="13285" xr:uid="{00000000-0005-0000-0000-0000E5330000}"/>
    <cellStyle name="Normal 152 5 3" xfId="13286" xr:uid="{00000000-0005-0000-0000-0000E6330000}"/>
    <cellStyle name="Normal 152 6" xfId="13287" xr:uid="{00000000-0005-0000-0000-0000E7330000}"/>
    <cellStyle name="Normal 152 6 2" xfId="13288" xr:uid="{00000000-0005-0000-0000-0000E8330000}"/>
    <cellStyle name="Normal 152 6 2 2" xfId="13289" xr:uid="{00000000-0005-0000-0000-0000E9330000}"/>
    <cellStyle name="Normal 152 6 3" xfId="13290" xr:uid="{00000000-0005-0000-0000-0000EA330000}"/>
    <cellStyle name="Normal 152 7" xfId="13291" xr:uid="{00000000-0005-0000-0000-0000EB330000}"/>
    <cellStyle name="Normal 153" xfId="13292" xr:uid="{00000000-0005-0000-0000-0000EC330000}"/>
    <cellStyle name="Normal 153 2" xfId="13293" xr:uid="{00000000-0005-0000-0000-0000ED330000}"/>
    <cellStyle name="Normal 153 2 2" xfId="13294" xr:uid="{00000000-0005-0000-0000-0000EE330000}"/>
    <cellStyle name="Normal 153 2 2 2" xfId="13295" xr:uid="{00000000-0005-0000-0000-0000EF330000}"/>
    <cellStyle name="Normal 153 2 3" xfId="13296" xr:uid="{00000000-0005-0000-0000-0000F0330000}"/>
    <cellStyle name="Normal 153 2 3 2" xfId="13297" xr:uid="{00000000-0005-0000-0000-0000F1330000}"/>
    <cellStyle name="Normal 153 2 3 2 2" xfId="13298" xr:uid="{00000000-0005-0000-0000-0000F2330000}"/>
    <cellStyle name="Normal 153 2 3 3" xfId="13299" xr:uid="{00000000-0005-0000-0000-0000F3330000}"/>
    <cellStyle name="Normal 153 2 4" xfId="13300" xr:uid="{00000000-0005-0000-0000-0000F4330000}"/>
    <cellStyle name="Normal 153 2 4 2" xfId="13301" xr:uid="{00000000-0005-0000-0000-0000F5330000}"/>
    <cellStyle name="Normal 153 2 4 2 2" xfId="13302" xr:uid="{00000000-0005-0000-0000-0000F6330000}"/>
    <cellStyle name="Normal 153 2 4 3" xfId="13303" xr:uid="{00000000-0005-0000-0000-0000F7330000}"/>
    <cellStyle name="Normal 153 2 5" xfId="13304" xr:uid="{00000000-0005-0000-0000-0000F8330000}"/>
    <cellStyle name="Normal 153 3" xfId="13305" xr:uid="{00000000-0005-0000-0000-0000F9330000}"/>
    <cellStyle name="Normal 153 3 2" xfId="13306" xr:uid="{00000000-0005-0000-0000-0000FA330000}"/>
    <cellStyle name="Normal 153 3 2 2" xfId="13307" xr:uid="{00000000-0005-0000-0000-0000FB330000}"/>
    <cellStyle name="Normal 153 3 2 2 2" xfId="13308" xr:uid="{00000000-0005-0000-0000-0000FC330000}"/>
    <cellStyle name="Normal 153 3 2 3" xfId="13309" xr:uid="{00000000-0005-0000-0000-0000FD330000}"/>
    <cellStyle name="Normal 153 3 2 3 2" xfId="13310" xr:uid="{00000000-0005-0000-0000-0000FE330000}"/>
    <cellStyle name="Normal 153 3 2 3 2 2" xfId="13311" xr:uid="{00000000-0005-0000-0000-0000FF330000}"/>
    <cellStyle name="Normal 153 3 2 3 3" xfId="13312" xr:uid="{00000000-0005-0000-0000-000000340000}"/>
    <cellStyle name="Normal 153 3 2 4" xfId="13313" xr:uid="{00000000-0005-0000-0000-000001340000}"/>
    <cellStyle name="Normal 153 3 3" xfId="13314" xr:uid="{00000000-0005-0000-0000-000002340000}"/>
    <cellStyle name="Normal 153 3 3 2" xfId="13315" xr:uid="{00000000-0005-0000-0000-000003340000}"/>
    <cellStyle name="Normal 153 3 3 2 2" xfId="13316" xr:uid="{00000000-0005-0000-0000-000004340000}"/>
    <cellStyle name="Normal 153 3 3 3" xfId="13317" xr:uid="{00000000-0005-0000-0000-000005340000}"/>
    <cellStyle name="Normal 153 3 4" xfId="13318" xr:uid="{00000000-0005-0000-0000-000006340000}"/>
    <cellStyle name="Normal 153 3 4 2" xfId="13319" xr:uid="{00000000-0005-0000-0000-000007340000}"/>
    <cellStyle name="Normal 153 3 4 2 2" xfId="13320" xr:uid="{00000000-0005-0000-0000-000008340000}"/>
    <cellStyle name="Normal 153 3 4 3" xfId="13321" xr:uid="{00000000-0005-0000-0000-000009340000}"/>
    <cellStyle name="Normal 153 3 5" xfId="13322" xr:uid="{00000000-0005-0000-0000-00000A340000}"/>
    <cellStyle name="Normal 153 3 5 2" xfId="13323" xr:uid="{00000000-0005-0000-0000-00000B340000}"/>
    <cellStyle name="Normal 153 3 5 2 2" xfId="13324" xr:uid="{00000000-0005-0000-0000-00000C340000}"/>
    <cellStyle name="Normal 153 3 5 3" xfId="13325" xr:uid="{00000000-0005-0000-0000-00000D340000}"/>
    <cellStyle name="Normal 153 3 6" xfId="13326" xr:uid="{00000000-0005-0000-0000-00000E340000}"/>
    <cellStyle name="Normal 153 4" xfId="13327" xr:uid="{00000000-0005-0000-0000-00000F340000}"/>
    <cellStyle name="Normal 153 4 2" xfId="13328" xr:uid="{00000000-0005-0000-0000-000010340000}"/>
    <cellStyle name="Normal 153 4 2 2" xfId="13329" xr:uid="{00000000-0005-0000-0000-000011340000}"/>
    <cellStyle name="Normal 153 4 3" xfId="13330" xr:uid="{00000000-0005-0000-0000-000012340000}"/>
    <cellStyle name="Normal 153 5" xfId="13331" xr:uid="{00000000-0005-0000-0000-000013340000}"/>
    <cellStyle name="Normal 153 5 2" xfId="13332" xr:uid="{00000000-0005-0000-0000-000014340000}"/>
    <cellStyle name="Normal 153 5 2 2" xfId="13333" xr:uid="{00000000-0005-0000-0000-000015340000}"/>
    <cellStyle name="Normal 153 5 3" xfId="13334" xr:uid="{00000000-0005-0000-0000-000016340000}"/>
    <cellStyle name="Normal 153 6" xfId="13335" xr:uid="{00000000-0005-0000-0000-000017340000}"/>
    <cellStyle name="Normal 153 6 2" xfId="13336" xr:uid="{00000000-0005-0000-0000-000018340000}"/>
    <cellStyle name="Normal 153 6 2 2" xfId="13337" xr:uid="{00000000-0005-0000-0000-000019340000}"/>
    <cellStyle name="Normal 153 6 3" xfId="13338" xr:uid="{00000000-0005-0000-0000-00001A340000}"/>
    <cellStyle name="Normal 153 7" xfId="13339" xr:uid="{00000000-0005-0000-0000-00001B340000}"/>
    <cellStyle name="Normal 154" xfId="13340" xr:uid="{00000000-0005-0000-0000-00001C340000}"/>
    <cellStyle name="Normal 154 2" xfId="13341" xr:uid="{00000000-0005-0000-0000-00001D340000}"/>
    <cellStyle name="Normal 154 2 2" xfId="13342" xr:uid="{00000000-0005-0000-0000-00001E340000}"/>
    <cellStyle name="Normal 154 2 2 2" xfId="13343" xr:uid="{00000000-0005-0000-0000-00001F340000}"/>
    <cellStyle name="Normal 154 2 3" xfId="13344" xr:uid="{00000000-0005-0000-0000-000020340000}"/>
    <cellStyle name="Normal 154 2 3 2" xfId="13345" xr:uid="{00000000-0005-0000-0000-000021340000}"/>
    <cellStyle name="Normal 154 2 3 2 2" xfId="13346" xr:uid="{00000000-0005-0000-0000-000022340000}"/>
    <cellStyle name="Normal 154 2 3 3" xfId="13347" xr:uid="{00000000-0005-0000-0000-000023340000}"/>
    <cellStyle name="Normal 154 2 4" xfId="13348" xr:uid="{00000000-0005-0000-0000-000024340000}"/>
    <cellStyle name="Normal 154 2 4 2" xfId="13349" xr:uid="{00000000-0005-0000-0000-000025340000}"/>
    <cellStyle name="Normal 154 2 4 2 2" xfId="13350" xr:uid="{00000000-0005-0000-0000-000026340000}"/>
    <cellStyle name="Normal 154 2 4 3" xfId="13351" xr:uid="{00000000-0005-0000-0000-000027340000}"/>
    <cellStyle name="Normal 154 2 5" xfId="13352" xr:uid="{00000000-0005-0000-0000-000028340000}"/>
    <cellStyle name="Normal 154 3" xfId="13353" xr:uid="{00000000-0005-0000-0000-000029340000}"/>
    <cellStyle name="Normal 154 3 2" xfId="13354" xr:uid="{00000000-0005-0000-0000-00002A340000}"/>
    <cellStyle name="Normal 154 3 2 2" xfId="13355" xr:uid="{00000000-0005-0000-0000-00002B340000}"/>
    <cellStyle name="Normal 154 3 2 2 2" xfId="13356" xr:uid="{00000000-0005-0000-0000-00002C340000}"/>
    <cellStyle name="Normal 154 3 2 3" xfId="13357" xr:uid="{00000000-0005-0000-0000-00002D340000}"/>
    <cellStyle name="Normal 154 3 2 3 2" xfId="13358" xr:uid="{00000000-0005-0000-0000-00002E340000}"/>
    <cellStyle name="Normal 154 3 2 3 2 2" xfId="13359" xr:uid="{00000000-0005-0000-0000-00002F340000}"/>
    <cellStyle name="Normal 154 3 2 3 3" xfId="13360" xr:uid="{00000000-0005-0000-0000-000030340000}"/>
    <cellStyle name="Normal 154 3 2 4" xfId="13361" xr:uid="{00000000-0005-0000-0000-000031340000}"/>
    <cellStyle name="Normal 154 3 3" xfId="13362" xr:uid="{00000000-0005-0000-0000-000032340000}"/>
    <cellStyle name="Normal 154 3 3 2" xfId="13363" xr:uid="{00000000-0005-0000-0000-000033340000}"/>
    <cellStyle name="Normal 154 3 3 2 2" xfId="13364" xr:uid="{00000000-0005-0000-0000-000034340000}"/>
    <cellStyle name="Normal 154 3 3 3" xfId="13365" xr:uid="{00000000-0005-0000-0000-000035340000}"/>
    <cellStyle name="Normal 154 3 4" xfId="13366" xr:uid="{00000000-0005-0000-0000-000036340000}"/>
    <cellStyle name="Normal 154 3 4 2" xfId="13367" xr:uid="{00000000-0005-0000-0000-000037340000}"/>
    <cellStyle name="Normal 154 3 4 2 2" xfId="13368" xr:uid="{00000000-0005-0000-0000-000038340000}"/>
    <cellStyle name="Normal 154 3 4 3" xfId="13369" xr:uid="{00000000-0005-0000-0000-000039340000}"/>
    <cellStyle name="Normal 154 3 5" xfId="13370" xr:uid="{00000000-0005-0000-0000-00003A340000}"/>
    <cellStyle name="Normal 154 3 5 2" xfId="13371" xr:uid="{00000000-0005-0000-0000-00003B340000}"/>
    <cellStyle name="Normal 154 3 5 2 2" xfId="13372" xr:uid="{00000000-0005-0000-0000-00003C340000}"/>
    <cellStyle name="Normal 154 3 5 3" xfId="13373" xr:uid="{00000000-0005-0000-0000-00003D340000}"/>
    <cellStyle name="Normal 154 3 6" xfId="13374" xr:uid="{00000000-0005-0000-0000-00003E340000}"/>
    <cellStyle name="Normal 154 4" xfId="13375" xr:uid="{00000000-0005-0000-0000-00003F340000}"/>
    <cellStyle name="Normal 154 4 2" xfId="13376" xr:uid="{00000000-0005-0000-0000-000040340000}"/>
    <cellStyle name="Normal 154 4 2 2" xfId="13377" xr:uid="{00000000-0005-0000-0000-000041340000}"/>
    <cellStyle name="Normal 154 4 3" xfId="13378" xr:uid="{00000000-0005-0000-0000-000042340000}"/>
    <cellStyle name="Normal 154 5" xfId="13379" xr:uid="{00000000-0005-0000-0000-000043340000}"/>
    <cellStyle name="Normal 154 5 2" xfId="13380" xr:uid="{00000000-0005-0000-0000-000044340000}"/>
    <cellStyle name="Normal 154 5 2 2" xfId="13381" xr:uid="{00000000-0005-0000-0000-000045340000}"/>
    <cellStyle name="Normal 154 5 3" xfId="13382" xr:uid="{00000000-0005-0000-0000-000046340000}"/>
    <cellStyle name="Normal 154 6" xfId="13383" xr:uid="{00000000-0005-0000-0000-000047340000}"/>
    <cellStyle name="Normal 154 6 2" xfId="13384" xr:uid="{00000000-0005-0000-0000-000048340000}"/>
    <cellStyle name="Normal 154 6 2 2" xfId="13385" xr:uid="{00000000-0005-0000-0000-000049340000}"/>
    <cellStyle name="Normal 154 6 3" xfId="13386" xr:uid="{00000000-0005-0000-0000-00004A340000}"/>
    <cellStyle name="Normal 154 7" xfId="13387" xr:uid="{00000000-0005-0000-0000-00004B340000}"/>
    <cellStyle name="Normal 155" xfId="13388" xr:uid="{00000000-0005-0000-0000-00004C340000}"/>
    <cellStyle name="Normal 155 2" xfId="13389" xr:uid="{00000000-0005-0000-0000-00004D340000}"/>
    <cellStyle name="Normal 155 2 2" xfId="13390" xr:uid="{00000000-0005-0000-0000-00004E340000}"/>
    <cellStyle name="Normal 155 2 2 2" xfId="13391" xr:uid="{00000000-0005-0000-0000-00004F340000}"/>
    <cellStyle name="Normal 155 2 3" xfId="13392" xr:uid="{00000000-0005-0000-0000-000050340000}"/>
    <cellStyle name="Normal 155 2 3 2" xfId="13393" xr:uid="{00000000-0005-0000-0000-000051340000}"/>
    <cellStyle name="Normal 155 2 3 2 2" xfId="13394" xr:uid="{00000000-0005-0000-0000-000052340000}"/>
    <cellStyle name="Normal 155 2 3 3" xfId="13395" xr:uid="{00000000-0005-0000-0000-000053340000}"/>
    <cellStyle name="Normal 155 2 4" xfId="13396" xr:uid="{00000000-0005-0000-0000-000054340000}"/>
    <cellStyle name="Normal 155 2 4 2" xfId="13397" xr:uid="{00000000-0005-0000-0000-000055340000}"/>
    <cellStyle name="Normal 155 2 4 2 2" xfId="13398" xr:uid="{00000000-0005-0000-0000-000056340000}"/>
    <cellStyle name="Normal 155 2 4 3" xfId="13399" xr:uid="{00000000-0005-0000-0000-000057340000}"/>
    <cellStyle name="Normal 155 2 5" xfId="13400" xr:uid="{00000000-0005-0000-0000-000058340000}"/>
    <cellStyle name="Normal 155 3" xfId="13401" xr:uid="{00000000-0005-0000-0000-000059340000}"/>
    <cellStyle name="Normal 155 3 2" xfId="13402" xr:uid="{00000000-0005-0000-0000-00005A340000}"/>
    <cellStyle name="Normal 155 3 2 2" xfId="13403" xr:uid="{00000000-0005-0000-0000-00005B340000}"/>
    <cellStyle name="Normal 155 3 2 2 2" xfId="13404" xr:uid="{00000000-0005-0000-0000-00005C340000}"/>
    <cellStyle name="Normal 155 3 2 3" xfId="13405" xr:uid="{00000000-0005-0000-0000-00005D340000}"/>
    <cellStyle name="Normal 155 3 2 3 2" xfId="13406" xr:uid="{00000000-0005-0000-0000-00005E340000}"/>
    <cellStyle name="Normal 155 3 2 3 2 2" xfId="13407" xr:uid="{00000000-0005-0000-0000-00005F340000}"/>
    <cellStyle name="Normal 155 3 2 3 3" xfId="13408" xr:uid="{00000000-0005-0000-0000-000060340000}"/>
    <cellStyle name="Normal 155 3 2 4" xfId="13409" xr:uid="{00000000-0005-0000-0000-000061340000}"/>
    <cellStyle name="Normal 155 3 3" xfId="13410" xr:uid="{00000000-0005-0000-0000-000062340000}"/>
    <cellStyle name="Normal 155 3 3 2" xfId="13411" xr:uid="{00000000-0005-0000-0000-000063340000}"/>
    <cellStyle name="Normal 155 3 3 2 2" xfId="13412" xr:uid="{00000000-0005-0000-0000-000064340000}"/>
    <cellStyle name="Normal 155 3 3 3" xfId="13413" xr:uid="{00000000-0005-0000-0000-000065340000}"/>
    <cellStyle name="Normal 155 3 4" xfId="13414" xr:uid="{00000000-0005-0000-0000-000066340000}"/>
    <cellStyle name="Normal 155 3 4 2" xfId="13415" xr:uid="{00000000-0005-0000-0000-000067340000}"/>
    <cellStyle name="Normal 155 3 4 2 2" xfId="13416" xr:uid="{00000000-0005-0000-0000-000068340000}"/>
    <cellStyle name="Normal 155 3 4 3" xfId="13417" xr:uid="{00000000-0005-0000-0000-000069340000}"/>
    <cellStyle name="Normal 155 3 5" xfId="13418" xr:uid="{00000000-0005-0000-0000-00006A340000}"/>
    <cellStyle name="Normal 155 3 5 2" xfId="13419" xr:uid="{00000000-0005-0000-0000-00006B340000}"/>
    <cellStyle name="Normal 155 3 5 2 2" xfId="13420" xr:uid="{00000000-0005-0000-0000-00006C340000}"/>
    <cellStyle name="Normal 155 3 5 3" xfId="13421" xr:uid="{00000000-0005-0000-0000-00006D340000}"/>
    <cellStyle name="Normal 155 3 6" xfId="13422" xr:uid="{00000000-0005-0000-0000-00006E340000}"/>
    <cellStyle name="Normal 155 4" xfId="13423" xr:uid="{00000000-0005-0000-0000-00006F340000}"/>
    <cellStyle name="Normal 155 4 2" xfId="13424" xr:uid="{00000000-0005-0000-0000-000070340000}"/>
    <cellStyle name="Normal 155 4 2 2" xfId="13425" xr:uid="{00000000-0005-0000-0000-000071340000}"/>
    <cellStyle name="Normal 155 4 3" xfId="13426" xr:uid="{00000000-0005-0000-0000-000072340000}"/>
    <cellStyle name="Normal 155 5" xfId="13427" xr:uid="{00000000-0005-0000-0000-000073340000}"/>
    <cellStyle name="Normal 155 5 2" xfId="13428" xr:uid="{00000000-0005-0000-0000-000074340000}"/>
    <cellStyle name="Normal 155 5 2 2" xfId="13429" xr:uid="{00000000-0005-0000-0000-000075340000}"/>
    <cellStyle name="Normal 155 5 3" xfId="13430" xr:uid="{00000000-0005-0000-0000-000076340000}"/>
    <cellStyle name="Normal 155 6" xfId="13431" xr:uid="{00000000-0005-0000-0000-000077340000}"/>
    <cellStyle name="Normal 155 6 2" xfId="13432" xr:uid="{00000000-0005-0000-0000-000078340000}"/>
    <cellStyle name="Normal 155 6 2 2" xfId="13433" xr:uid="{00000000-0005-0000-0000-000079340000}"/>
    <cellStyle name="Normal 155 6 3" xfId="13434" xr:uid="{00000000-0005-0000-0000-00007A340000}"/>
    <cellStyle name="Normal 155 7" xfId="13435" xr:uid="{00000000-0005-0000-0000-00007B340000}"/>
    <cellStyle name="Normal 156" xfId="13436" xr:uid="{00000000-0005-0000-0000-00007C340000}"/>
    <cellStyle name="Normal 156 2" xfId="13437" xr:uid="{00000000-0005-0000-0000-00007D340000}"/>
    <cellStyle name="Normal 156 2 2" xfId="13438" xr:uid="{00000000-0005-0000-0000-00007E340000}"/>
    <cellStyle name="Normal 156 2 2 2" xfId="13439" xr:uid="{00000000-0005-0000-0000-00007F340000}"/>
    <cellStyle name="Normal 156 2 3" xfId="13440" xr:uid="{00000000-0005-0000-0000-000080340000}"/>
    <cellStyle name="Normal 156 2 3 2" xfId="13441" xr:uid="{00000000-0005-0000-0000-000081340000}"/>
    <cellStyle name="Normal 156 2 3 2 2" xfId="13442" xr:uid="{00000000-0005-0000-0000-000082340000}"/>
    <cellStyle name="Normal 156 2 3 3" xfId="13443" xr:uid="{00000000-0005-0000-0000-000083340000}"/>
    <cellStyle name="Normal 156 2 4" xfId="13444" xr:uid="{00000000-0005-0000-0000-000084340000}"/>
    <cellStyle name="Normal 156 2 4 2" xfId="13445" xr:uid="{00000000-0005-0000-0000-000085340000}"/>
    <cellStyle name="Normal 156 2 4 2 2" xfId="13446" xr:uid="{00000000-0005-0000-0000-000086340000}"/>
    <cellStyle name="Normal 156 2 4 3" xfId="13447" xr:uid="{00000000-0005-0000-0000-000087340000}"/>
    <cellStyle name="Normal 156 2 5" xfId="13448" xr:uid="{00000000-0005-0000-0000-000088340000}"/>
    <cellStyle name="Normal 156 3" xfId="13449" xr:uid="{00000000-0005-0000-0000-000089340000}"/>
    <cellStyle name="Normal 156 3 2" xfId="13450" xr:uid="{00000000-0005-0000-0000-00008A340000}"/>
    <cellStyle name="Normal 156 3 2 2" xfId="13451" xr:uid="{00000000-0005-0000-0000-00008B340000}"/>
    <cellStyle name="Normal 156 3 2 2 2" xfId="13452" xr:uid="{00000000-0005-0000-0000-00008C340000}"/>
    <cellStyle name="Normal 156 3 2 3" xfId="13453" xr:uid="{00000000-0005-0000-0000-00008D340000}"/>
    <cellStyle name="Normal 156 3 2 3 2" xfId="13454" xr:uid="{00000000-0005-0000-0000-00008E340000}"/>
    <cellStyle name="Normal 156 3 2 3 2 2" xfId="13455" xr:uid="{00000000-0005-0000-0000-00008F340000}"/>
    <cellStyle name="Normal 156 3 2 3 3" xfId="13456" xr:uid="{00000000-0005-0000-0000-000090340000}"/>
    <cellStyle name="Normal 156 3 2 4" xfId="13457" xr:uid="{00000000-0005-0000-0000-000091340000}"/>
    <cellStyle name="Normal 156 3 3" xfId="13458" xr:uid="{00000000-0005-0000-0000-000092340000}"/>
    <cellStyle name="Normal 156 3 3 2" xfId="13459" xr:uid="{00000000-0005-0000-0000-000093340000}"/>
    <cellStyle name="Normal 156 3 3 2 2" xfId="13460" xr:uid="{00000000-0005-0000-0000-000094340000}"/>
    <cellStyle name="Normal 156 3 3 3" xfId="13461" xr:uid="{00000000-0005-0000-0000-000095340000}"/>
    <cellStyle name="Normal 156 3 4" xfId="13462" xr:uid="{00000000-0005-0000-0000-000096340000}"/>
    <cellStyle name="Normal 156 3 4 2" xfId="13463" xr:uid="{00000000-0005-0000-0000-000097340000}"/>
    <cellStyle name="Normal 156 3 4 2 2" xfId="13464" xr:uid="{00000000-0005-0000-0000-000098340000}"/>
    <cellStyle name="Normal 156 3 4 3" xfId="13465" xr:uid="{00000000-0005-0000-0000-000099340000}"/>
    <cellStyle name="Normal 156 3 5" xfId="13466" xr:uid="{00000000-0005-0000-0000-00009A340000}"/>
    <cellStyle name="Normal 156 3 5 2" xfId="13467" xr:uid="{00000000-0005-0000-0000-00009B340000}"/>
    <cellStyle name="Normal 156 3 5 2 2" xfId="13468" xr:uid="{00000000-0005-0000-0000-00009C340000}"/>
    <cellStyle name="Normal 156 3 5 3" xfId="13469" xr:uid="{00000000-0005-0000-0000-00009D340000}"/>
    <cellStyle name="Normal 156 3 6" xfId="13470" xr:uid="{00000000-0005-0000-0000-00009E340000}"/>
    <cellStyle name="Normal 156 4" xfId="13471" xr:uid="{00000000-0005-0000-0000-00009F340000}"/>
    <cellStyle name="Normal 156 4 2" xfId="13472" xr:uid="{00000000-0005-0000-0000-0000A0340000}"/>
    <cellStyle name="Normal 156 4 2 2" xfId="13473" xr:uid="{00000000-0005-0000-0000-0000A1340000}"/>
    <cellStyle name="Normal 156 4 3" xfId="13474" xr:uid="{00000000-0005-0000-0000-0000A2340000}"/>
    <cellStyle name="Normal 156 5" xfId="13475" xr:uid="{00000000-0005-0000-0000-0000A3340000}"/>
    <cellStyle name="Normal 156 5 2" xfId="13476" xr:uid="{00000000-0005-0000-0000-0000A4340000}"/>
    <cellStyle name="Normal 156 5 2 2" xfId="13477" xr:uid="{00000000-0005-0000-0000-0000A5340000}"/>
    <cellStyle name="Normal 156 5 3" xfId="13478" xr:uid="{00000000-0005-0000-0000-0000A6340000}"/>
    <cellStyle name="Normal 156 6" xfId="13479" xr:uid="{00000000-0005-0000-0000-0000A7340000}"/>
    <cellStyle name="Normal 156 6 2" xfId="13480" xr:uid="{00000000-0005-0000-0000-0000A8340000}"/>
    <cellStyle name="Normal 156 6 2 2" xfId="13481" xr:uid="{00000000-0005-0000-0000-0000A9340000}"/>
    <cellStyle name="Normal 156 6 3" xfId="13482" xr:uid="{00000000-0005-0000-0000-0000AA340000}"/>
    <cellStyle name="Normal 156 7" xfId="13483" xr:uid="{00000000-0005-0000-0000-0000AB340000}"/>
    <cellStyle name="Normal 157" xfId="13484" xr:uid="{00000000-0005-0000-0000-0000AC340000}"/>
    <cellStyle name="Normal 157 2" xfId="13485" xr:uid="{00000000-0005-0000-0000-0000AD340000}"/>
    <cellStyle name="Normal 157 2 2" xfId="13486" xr:uid="{00000000-0005-0000-0000-0000AE340000}"/>
    <cellStyle name="Normal 157 2 2 2" xfId="13487" xr:uid="{00000000-0005-0000-0000-0000AF340000}"/>
    <cellStyle name="Normal 157 2 3" xfId="13488" xr:uid="{00000000-0005-0000-0000-0000B0340000}"/>
    <cellStyle name="Normal 157 2 3 2" xfId="13489" xr:uid="{00000000-0005-0000-0000-0000B1340000}"/>
    <cellStyle name="Normal 157 2 3 2 2" xfId="13490" xr:uid="{00000000-0005-0000-0000-0000B2340000}"/>
    <cellStyle name="Normal 157 2 3 3" xfId="13491" xr:uid="{00000000-0005-0000-0000-0000B3340000}"/>
    <cellStyle name="Normal 157 2 4" xfId="13492" xr:uid="{00000000-0005-0000-0000-0000B4340000}"/>
    <cellStyle name="Normal 157 2 4 2" xfId="13493" xr:uid="{00000000-0005-0000-0000-0000B5340000}"/>
    <cellStyle name="Normal 157 2 4 2 2" xfId="13494" xr:uid="{00000000-0005-0000-0000-0000B6340000}"/>
    <cellStyle name="Normal 157 2 4 3" xfId="13495" xr:uid="{00000000-0005-0000-0000-0000B7340000}"/>
    <cellStyle name="Normal 157 2 5" xfId="13496" xr:uid="{00000000-0005-0000-0000-0000B8340000}"/>
    <cellStyle name="Normal 157 3" xfId="13497" xr:uid="{00000000-0005-0000-0000-0000B9340000}"/>
    <cellStyle name="Normal 157 3 2" xfId="13498" xr:uid="{00000000-0005-0000-0000-0000BA340000}"/>
    <cellStyle name="Normal 157 3 2 2" xfId="13499" xr:uid="{00000000-0005-0000-0000-0000BB340000}"/>
    <cellStyle name="Normal 157 3 2 2 2" xfId="13500" xr:uid="{00000000-0005-0000-0000-0000BC340000}"/>
    <cellStyle name="Normal 157 3 2 3" xfId="13501" xr:uid="{00000000-0005-0000-0000-0000BD340000}"/>
    <cellStyle name="Normal 157 3 2 3 2" xfId="13502" xr:uid="{00000000-0005-0000-0000-0000BE340000}"/>
    <cellStyle name="Normal 157 3 2 3 2 2" xfId="13503" xr:uid="{00000000-0005-0000-0000-0000BF340000}"/>
    <cellStyle name="Normal 157 3 2 3 3" xfId="13504" xr:uid="{00000000-0005-0000-0000-0000C0340000}"/>
    <cellStyle name="Normal 157 3 2 4" xfId="13505" xr:uid="{00000000-0005-0000-0000-0000C1340000}"/>
    <cellStyle name="Normal 157 3 3" xfId="13506" xr:uid="{00000000-0005-0000-0000-0000C2340000}"/>
    <cellStyle name="Normal 157 3 3 2" xfId="13507" xr:uid="{00000000-0005-0000-0000-0000C3340000}"/>
    <cellStyle name="Normal 157 3 3 2 2" xfId="13508" xr:uid="{00000000-0005-0000-0000-0000C4340000}"/>
    <cellStyle name="Normal 157 3 3 3" xfId="13509" xr:uid="{00000000-0005-0000-0000-0000C5340000}"/>
    <cellStyle name="Normal 157 3 4" xfId="13510" xr:uid="{00000000-0005-0000-0000-0000C6340000}"/>
    <cellStyle name="Normal 157 3 4 2" xfId="13511" xr:uid="{00000000-0005-0000-0000-0000C7340000}"/>
    <cellStyle name="Normal 157 3 4 2 2" xfId="13512" xr:uid="{00000000-0005-0000-0000-0000C8340000}"/>
    <cellStyle name="Normal 157 3 4 3" xfId="13513" xr:uid="{00000000-0005-0000-0000-0000C9340000}"/>
    <cellStyle name="Normal 157 3 5" xfId="13514" xr:uid="{00000000-0005-0000-0000-0000CA340000}"/>
    <cellStyle name="Normal 157 3 5 2" xfId="13515" xr:uid="{00000000-0005-0000-0000-0000CB340000}"/>
    <cellStyle name="Normal 157 3 5 2 2" xfId="13516" xr:uid="{00000000-0005-0000-0000-0000CC340000}"/>
    <cellStyle name="Normal 157 3 5 3" xfId="13517" xr:uid="{00000000-0005-0000-0000-0000CD340000}"/>
    <cellStyle name="Normal 157 3 6" xfId="13518" xr:uid="{00000000-0005-0000-0000-0000CE340000}"/>
    <cellStyle name="Normal 157 4" xfId="13519" xr:uid="{00000000-0005-0000-0000-0000CF340000}"/>
    <cellStyle name="Normal 157 4 2" xfId="13520" xr:uid="{00000000-0005-0000-0000-0000D0340000}"/>
    <cellStyle name="Normal 157 4 2 2" xfId="13521" xr:uid="{00000000-0005-0000-0000-0000D1340000}"/>
    <cellStyle name="Normal 157 4 3" xfId="13522" xr:uid="{00000000-0005-0000-0000-0000D2340000}"/>
    <cellStyle name="Normal 157 5" xfId="13523" xr:uid="{00000000-0005-0000-0000-0000D3340000}"/>
    <cellStyle name="Normal 157 5 2" xfId="13524" xr:uid="{00000000-0005-0000-0000-0000D4340000}"/>
    <cellStyle name="Normal 157 5 2 2" xfId="13525" xr:uid="{00000000-0005-0000-0000-0000D5340000}"/>
    <cellStyle name="Normal 157 5 3" xfId="13526" xr:uid="{00000000-0005-0000-0000-0000D6340000}"/>
    <cellStyle name="Normal 157 6" xfId="13527" xr:uid="{00000000-0005-0000-0000-0000D7340000}"/>
    <cellStyle name="Normal 157 6 2" xfId="13528" xr:uid="{00000000-0005-0000-0000-0000D8340000}"/>
    <cellStyle name="Normal 157 6 2 2" xfId="13529" xr:uid="{00000000-0005-0000-0000-0000D9340000}"/>
    <cellStyle name="Normal 157 6 3" xfId="13530" xr:uid="{00000000-0005-0000-0000-0000DA340000}"/>
    <cellStyle name="Normal 157 7" xfId="13531" xr:uid="{00000000-0005-0000-0000-0000DB340000}"/>
    <cellStyle name="Normal 158" xfId="13532" xr:uid="{00000000-0005-0000-0000-0000DC340000}"/>
    <cellStyle name="Normal 158 2" xfId="13533" xr:uid="{00000000-0005-0000-0000-0000DD340000}"/>
    <cellStyle name="Normal 158 2 2" xfId="13534" xr:uid="{00000000-0005-0000-0000-0000DE340000}"/>
    <cellStyle name="Normal 158 2 2 2" xfId="13535" xr:uid="{00000000-0005-0000-0000-0000DF340000}"/>
    <cellStyle name="Normal 158 2 3" xfId="13536" xr:uid="{00000000-0005-0000-0000-0000E0340000}"/>
    <cellStyle name="Normal 158 2 3 2" xfId="13537" xr:uid="{00000000-0005-0000-0000-0000E1340000}"/>
    <cellStyle name="Normal 158 2 3 2 2" xfId="13538" xr:uid="{00000000-0005-0000-0000-0000E2340000}"/>
    <cellStyle name="Normal 158 2 3 3" xfId="13539" xr:uid="{00000000-0005-0000-0000-0000E3340000}"/>
    <cellStyle name="Normal 158 2 4" xfId="13540" xr:uid="{00000000-0005-0000-0000-0000E4340000}"/>
    <cellStyle name="Normal 158 2 4 2" xfId="13541" xr:uid="{00000000-0005-0000-0000-0000E5340000}"/>
    <cellStyle name="Normal 158 2 4 2 2" xfId="13542" xr:uid="{00000000-0005-0000-0000-0000E6340000}"/>
    <cellStyle name="Normal 158 2 4 3" xfId="13543" xr:uid="{00000000-0005-0000-0000-0000E7340000}"/>
    <cellStyle name="Normal 158 2 5" xfId="13544" xr:uid="{00000000-0005-0000-0000-0000E8340000}"/>
    <cellStyle name="Normal 158 3" xfId="13545" xr:uid="{00000000-0005-0000-0000-0000E9340000}"/>
    <cellStyle name="Normal 158 3 2" xfId="13546" xr:uid="{00000000-0005-0000-0000-0000EA340000}"/>
    <cellStyle name="Normal 158 3 2 2" xfId="13547" xr:uid="{00000000-0005-0000-0000-0000EB340000}"/>
    <cellStyle name="Normal 158 3 2 2 2" xfId="13548" xr:uid="{00000000-0005-0000-0000-0000EC340000}"/>
    <cellStyle name="Normal 158 3 2 3" xfId="13549" xr:uid="{00000000-0005-0000-0000-0000ED340000}"/>
    <cellStyle name="Normal 158 3 2 3 2" xfId="13550" xr:uid="{00000000-0005-0000-0000-0000EE340000}"/>
    <cellStyle name="Normal 158 3 2 3 2 2" xfId="13551" xr:uid="{00000000-0005-0000-0000-0000EF340000}"/>
    <cellStyle name="Normal 158 3 2 3 3" xfId="13552" xr:uid="{00000000-0005-0000-0000-0000F0340000}"/>
    <cellStyle name="Normal 158 3 2 4" xfId="13553" xr:uid="{00000000-0005-0000-0000-0000F1340000}"/>
    <cellStyle name="Normal 158 3 3" xfId="13554" xr:uid="{00000000-0005-0000-0000-0000F2340000}"/>
    <cellStyle name="Normal 158 3 3 2" xfId="13555" xr:uid="{00000000-0005-0000-0000-0000F3340000}"/>
    <cellStyle name="Normal 158 3 3 2 2" xfId="13556" xr:uid="{00000000-0005-0000-0000-0000F4340000}"/>
    <cellStyle name="Normal 158 3 3 3" xfId="13557" xr:uid="{00000000-0005-0000-0000-0000F5340000}"/>
    <cellStyle name="Normal 158 3 4" xfId="13558" xr:uid="{00000000-0005-0000-0000-0000F6340000}"/>
    <cellStyle name="Normal 158 3 4 2" xfId="13559" xr:uid="{00000000-0005-0000-0000-0000F7340000}"/>
    <cellStyle name="Normal 158 3 4 2 2" xfId="13560" xr:uid="{00000000-0005-0000-0000-0000F8340000}"/>
    <cellStyle name="Normal 158 3 4 3" xfId="13561" xr:uid="{00000000-0005-0000-0000-0000F9340000}"/>
    <cellStyle name="Normal 158 3 5" xfId="13562" xr:uid="{00000000-0005-0000-0000-0000FA340000}"/>
    <cellStyle name="Normal 158 3 5 2" xfId="13563" xr:uid="{00000000-0005-0000-0000-0000FB340000}"/>
    <cellStyle name="Normal 158 3 5 2 2" xfId="13564" xr:uid="{00000000-0005-0000-0000-0000FC340000}"/>
    <cellStyle name="Normal 158 3 5 3" xfId="13565" xr:uid="{00000000-0005-0000-0000-0000FD340000}"/>
    <cellStyle name="Normal 158 3 6" xfId="13566" xr:uid="{00000000-0005-0000-0000-0000FE340000}"/>
    <cellStyle name="Normal 158 4" xfId="13567" xr:uid="{00000000-0005-0000-0000-0000FF340000}"/>
    <cellStyle name="Normal 158 4 2" xfId="13568" xr:uid="{00000000-0005-0000-0000-000000350000}"/>
    <cellStyle name="Normal 158 4 2 2" xfId="13569" xr:uid="{00000000-0005-0000-0000-000001350000}"/>
    <cellStyle name="Normal 158 4 3" xfId="13570" xr:uid="{00000000-0005-0000-0000-000002350000}"/>
    <cellStyle name="Normal 158 5" xfId="13571" xr:uid="{00000000-0005-0000-0000-000003350000}"/>
    <cellStyle name="Normal 158 5 2" xfId="13572" xr:uid="{00000000-0005-0000-0000-000004350000}"/>
    <cellStyle name="Normal 158 5 2 2" xfId="13573" xr:uid="{00000000-0005-0000-0000-000005350000}"/>
    <cellStyle name="Normal 158 5 3" xfId="13574" xr:uid="{00000000-0005-0000-0000-000006350000}"/>
    <cellStyle name="Normal 158 6" xfId="13575" xr:uid="{00000000-0005-0000-0000-000007350000}"/>
    <cellStyle name="Normal 158 6 2" xfId="13576" xr:uid="{00000000-0005-0000-0000-000008350000}"/>
    <cellStyle name="Normal 158 6 2 2" xfId="13577" xr:uid="{00000000-0005-0000-0000-000009350000}"/>
    <cellStyle name="Normal 158 6 3" xfId="13578" xr:uid="{00000000-0005-0000-0000-00000A350000}"/>
    <cellStyle name="Normal 158 7" xfId="13579" xr:uid="{00000000-0005-0000-0000-00000B350000}"/>
    <cellStyle name="Normal 159" xfId="13580" xr:uid="{00000000-0005-0000-0000-00000C350000}"/>
    <cellStyle name="Normal 159 2" xfId="13581" xr:uid="{00000000-0005-0000-0000-00000D350000}"/>
    <cellStyle name="Normal 159 2 2" xfId="13582" xr:uid="{00000000-0005-0000-0000-00000E350000}"/>
    <cellStyle name="Normal 159 2 2 2" xfId="13583" xr:uid="{00000000-0005-0000-0000-00000F350000}"/>
    <cellStyle name="Normal 159 2 3" xfId="13584" xr:uid="{00000000-0005-0000-0000-000010350000}"/>
    <cellStyle name="Normal 159 2 3 2" xfId="13585" xr:uid="{00000000-0005-0000-0000-000011350000}"/>
    <cellStyle name="Normal 159 2 3 2 2" xfId="13586" xr:uid="{00000000-0005-0000-0000-000012350000}"/>
    <cellStyle name="Normal 159 2 3 3" xfId="13587" xr:uid="{00000000-0005-0000-0000-000013350000}"/>
    <cellStyle name="Normal 159 2 4" xfId="13588" xr:uid="{00000000-0005-0000-0000-000014350000}"/>
    <cellStyle name="Normal 159 2 4 2" xfId="13589" xr:uid="{00000000-0005-0000-0000-000015350000}"/>
    <cellStyle name="Normal 159 2 4 2 2" xfId="13590" xr:uid="{00000000-0005-0000-0000-000016350000}"/>
    <cellStyle name="Normal 159 2 4 3" xfId="13591" xr:uid="{00000000-0005-0000-0000-000017350000}"/>
    <cellStyle name="Normal 159 2 5" xfId="13592" xr:uid="{00000000-0005-0000-0000-000018350000}"/>
    <cellStyle name="Normal 159 3" xfId="13593" xr:uid="{00000000-0005-0000-0000-000019350000}"/>
    <cellStyle name="Normal 159 3 2" xfId="13594" xr:uid="{00000000-0005-0000-0000-00001A350000}"/>
    <cellStyle name="Normal 159 3 2 2" xfId="13595" xr:uid="{00000000-0005-0000-0000-00001B350000}"/>
    <cellStyle name="Normal 159 3 2 2 2" xfId="13596" xr:uid="{00000000-0005-0000-0000-00001C350000}"/>
    <cellStyle name="Normal 159 3 2 3" xfId="13597" xr:uid="{00000000-0005-0000-0000-00001D350000}"/>
    <cellStyle name="Normal 159 3 2 3 2" xfId="13598" xr:uid="{00000000-0005-0000-0000-00001E350000}"/>
    <cellStyle name="Normal 159 3 2 3 2 2" xfId="13599" xr:uid="{00000000-0005-0000-0000-00001F350000}"/>
    <cellStyle name="Normal 159 3 2 3 3" xfId="13600" xr:uid="{00000000-0005-0000-0000-000020350000}"/>
    <cellStyle name="Normal 159 3 2 4" xfId="13601" xr:uid="{00000000-0005-0000-0000-000021350000}"/>
    <cellStyle name="Normal 159 3 3" xfId="13602" xr:uid="{00000000-0005-0000-0000-000022350000}"/>
    <cellStyle name="Normal 159 3 3 2" xfId="13603" xr:uid="{00000000-0005-0000-0000-000023350000}"/>
    <cellStyle name="Normal 159 3 3 2 2" xfId="13604" xr:uid="{00000000-0005-0000-0000-000024350000}"/>
    <cellStyle name="Normal 159 3 3 3" xfId="13605" xr:uid="{00000000-0005-0000-0000-000025350000}"/>
    <cellStyle name="Normal 159 3 4" xfId="13606" xr:uid="{00000000-0005-0000-0000-000026350000}"/>
    <cellStyle name="Normal 159 3 4 2" xfId="13607" xr:uid="{00000000-0005-0000-0000-000027350000}"/>
    <cellStyle name="Normal 159 3 4 2 2" xfId="13608" xr:uid="{00000000-0005-0000-0000-000028350000}"/>
    <cellStyle name="Normal 159 3 4 3" xfId="13609" xr:uid="{00000000-0005-0000-0000-000029350000}"/>
    <cellStyle name="Normal 159 3 5" xfId="13610" xr:uid="{00000000-0005-0000-0000-00002A350000}"/>
    <cellStyle name="Normal 159 3 5 2" xfId="13611" xr:uid="{00000000-0005-0000-0000-00002B350000}"/>
    <cellStyle name="Normal 159 3 5 2 2" xfId="13612" xr:uid="{00000000-0005-0000-0000-00002C350000}"/>
    <cellStyle name="Normal 159 3 5 3" xfId="13613" xr:uid="{00000000-0005-0000-0000-00002D350000}"/>
    <cellStyle name="Normal 159 3 6" xfId="13614" xr:uid="{00000000-0005-0000-0000-00002E350000}"/>
    <cellStyle name="Normal 159 4" xfId="13615" xr:uid="{00000000-0005-0000-0000-00002F350000}"/>
    <cellStyle name="Normal 159 4 2" xfId="13616" xr:uid="{00000000-0005-0000-0000-000030350000}"/>
    <cellStyle name="Normal 159 4 2 2" xfId="13617" xr:uid="{00000000-0005-0000-0000-000031350000}"/>
    <cellStyle name="Normal 159 4 3" xfId="13618" xr:uid="{00000000-0005-0000-0000-000032350000}"/>
    <cellStyle name="Normal 159 5" xfId="13619" xr:uid="{00000000-0005-0000-0000-000033350000}"/>
    <cellStyle name="Normal 159 5 2" xfId="13620" xr:uid="{00000000-0005-0000-0000-000034350000}"/>
    <cellStyle name="Normal 159 5 2 2" xfId="13621" xr:uid="{00000000-0005-0000-0000-000035350000}"/>
    <cellStyle name="Normal 159 5 3" xfId="13622" xr:uid="{00000000-0005-0000-0000-000036350000}"/>
    <cellStyle name="Normal 159 6" xfId="13623" xr:uid="{00000000-0005-0000-0000-000037350000}"/>
    <cellStyle name="Normal 159 6 2" xfId="13624" xr:uid="{00000000-0005-0000-0000-000038350000}"/>
    <cellStyle name="Normal 159 6 2 2" xfId="13625" xr:uid="{00000000-0005-0000-0000-000039350000}"/>
    <cellStyle name="Normal 159 6 3" xfId="13626" xr:uid="{00000000-0005-0000-0000-00003A350000}"/>
    <cellStyle name="Normal 159 7" xfId="13627" xr:uid="{00000000-0005-0000-0000-00003B350000}"/>
    <cellStyle name="Normal 16" xfId="63" xr:uid="{00000000-0005-0000-0000-00003F000000}"/>
    <cellStyle name="Normal 16 2" xfId="13628" xr:uid="{00000000-0005-0000-0000-00003C350000}"/>
    <cellStyle name="Normal 16 2 2" xfId="13629" xr:uid="{00000000-0005-0000-0000-00003D350000}"/>
    <cellStyle name="Normal 16 2 2 2" xfId="13630" xr:uid="{00000000-0005-0000-0000-00003E350000}"/>
    <cellStyle name="Normal 16 2 2 2 2" xfId="13631" xr:uid="{00000000-0005-0000-0000-00003F350000}"/>
    <cellStyle name="Normal 16 2 2 3" xfId="13632" xr:uid="{00000000-0005-0000-0000-000040350000}"/>
    <cellStyle name="Normal 16 2 2 3 2" xfId="13633" xr:uid="{00000000-0005-0000-0000-000041350000}"/>
    <cellStyle name="Normal 16 2 2 3 2 2" xfId="13634" xr:uid="{00000000-0005-0000-0000-000042350000}"/>
    <cellStyle name="Normal 16 2 2 3 3" xfId="13635" xr:uid="{00000000-0005-0000-0000-000043350000}"/>
    <cellStyle name="Normal 16 2 2 4" xfId="13636" xr:uid="{00000000-0005-0000-0000-000044350000}"/>
    <cellStyle name="Normal 16 2 2 4 2" xfId="13637" xr:uid="{00000000-0005-0000-0000-000045350000}"/>
    <cellStyle name="Normal 16 2 2 4 2 2" xfId="13638" xr:uid="{00000000-0005-0000-0000-000046350000}"/>
    <cellStyle name="Normal 16 2 2 4 3" xfId="13639" xr:uid="{00000000-0005-0000-0000-000047350000}"/>
    <cellStyle name="Normal 16 2 2 5" xfId="13640" xr:uid="{00000000-0005-0000-0000-000048350000}"/>
    <cellStyle name="Normal 16 2 3" xfId="13641" xr:uid="{00000000-0005-0000-0000-000049350000}"/>
    <cellStyle name="Normal 16 2 3 2" xfId="13642" xr:uid="{00000000-0005-0000-0000-00004A350000}"/>
    <cellStyle name="Normal 16 2 3 2 2" xfId="13643" xr:uid="{00000000-0005-0000-0000-00004B350000}"/>
    <cellStyle name="Normal 16 2 3 2 2 2" xfId="13644" xr:uid="{00000000-0005-0000-0000-00004C350000}"/>
    <cellStyle name="Normal 16 2 3 2 3" xfId="13645" xr:uid="{00000000-0005-0000-0000-00004D350000}"/>
    <cellStyle name="Normal 16 2 3 2 3 2" xfId="13646" xr:uid="{00000000-0005-0000-0000-00004E350000}"/>
    <cellStyle name="Normal 16 2 3 2 3 2 2" xfId="13647" xr:uid="{00000000-0005-0000-0000-00004F350000}"/>
    <cellStyle name="Normal 16 2 3 2 3 3" xfId="13648" xr:uid="{00000000-0005-0000-0000-000050350000}"/>
    <cellStyle name="Normal 16 2 3 2 4" xfId="13649" xr:uid="{00000000-0005-0000-0000-000051350000}"/>
    <cellStyle name="Normal 16 2 3 3" xfId="13650" xr:uid="{00000000-0005-0000-0000-000052350000}"/>
    <cellStyle name="Normal 16 2 3 3 2" xfId="13651" xr:uid="{00000000-0005-0000-0000-000053350000}"/>
    <cellStyle name="Normal 16 2 3 3 2 2" xfId="13652" xr:uid="{00000000-0005-0000-0000-000054350000}"/>
    <cellStyle name="Normal 16 2 3 3 3" xfId="13653" xr:uid="{00000000-0005-0000-0000-000055350000}"/>
    <cellStyle name="Normal 16 2 3 4" xfId="13654" xr:uid="{00000000-0005-0000-0000-000056350000}"/>
    <cellStyle name="Normal 16 2 3 4 2" xfId="13655" xr:uid="{00000000-0005-0000-0000-000057350000}"/>
    <cellStyle name="Normal 16 2 3 4 2 2" xfId="13656" xr:uid="{00000000-0005-0000-0000-000058350000}"/>
    <cellStyle name="Normal 16 2 3 4 3" xfId="13657" xr:uid="{00000000-0005-0000-0000-000059350000}"/>
    <cellStyle name="Normal 16 2 3 5" xfId="13658" xr:uid="{00000000-0005-0000-0000-00005A350000}"/>
    <cellStyle name="Normal 16 2 3 5 2" xfId="13659" xr:uid="{00000000-0005-0000-0000-00005B350000}"/>
    <cellStyle name="Normal 16 2 3 5 2 2" xfId="13660" xr:uid="{00000000-0005-0000-0000-00005C350000}"/>
    <cellStyle name="Normal 16 2 3 5 3" xfId="13661" xr:uid="{00000000-0005-0000-0000-00005D350000}"/>
    <cellStyle name="Normal 16 2 3 6" xfId="13662" xr:uid="{00000000-0005-0000-0000-00005E350000}"/>
    <cellStyle name="Normal 16 2 4" xfId="13663" xr:uid="{00000000-0005-0000-0000-00005F350000}"/>
    <cellStyle name="Normal 16 3" xfId="13664" xr:uid="{00000000-0005-0000-0000-000060350000}"/>
    <cellStyle name="Normal 16 3 2" xfId="13665" xr:uid="{00000000-0005-0000-0000-000061350000}"/>
    <cellStyle name="Normal 16 3 2 2" xfId="13666" xr:uid="{00000000-0005-0000-0000-000062350000}"/>
    <cellStyle name="Normal 16 3 2 2 2" xfId="13667" xr:uid="{00000000-0005-0000-0000-000063350000}"/>
    <cellStyle name="Normal 16 3 2 3" xfId="13668" xr:uid="{00000000-0005-0000-0000-000064350000}"/>
    <cellStyle name="Normal 16 3 2 3 2" xfId="13669" xr:uid="{00000000-0005-0000-0000-000065350000}"/>
    <cellStyle name="Normal 16 3 2 3 2 2" xfId="13670" xr:uid="{00000000-0005-0000-0000-000066350000}"/>
    <cellStyle name="Normal 16 3 2 3 3" xfId="13671" xr:uid="{00000000-0005-0000-0000-000067350000}"/>
    <cellStyle name="Normal 16 3 2 4" xfId="13672" xr:uid="{00000000-0005-0000-0000-000068350000}"/>
    <cellStyle name="Normal 16 3 2 4 2" xfId="13673" xr:uid="{00000000-0005-0000-0000-000069350000}"/>
    <cellStyle name="Normal 16 3 2 4 2 2" xfId="13674" xr:uid="{00000000-0005-0000-0000-00006A350000}"/>
    <cellStyle name="Normal 16 3 2 4 3" xfId="13675" xr:uid="{00000000-0005-0000-0000-00006B350000}"/>
    <cellStyle name="Normal 16 3 2 5" xfId="13676" xr:uid="{00000000-0005-0000-0000-00006C350000}"/>
    <cellStyle name="Normal 16 3 3" xfId="13677" xr:uid="{00000000-0005-0000-0000-00006D350000}"/>
    <cellStyle name="Normal 16 3 3 2" xfId="13678" xr:uid="{00000000-0005-0000-0000-00006E350000}"/>
    <cellStyle name="Normal 16 3 3 2 2" xfId="13679" xr:uid="{00000000-0005-0000-0000-00006F350000}"/>
    <cellStyle name="Normal 16 3 3 3" xfId="13680" xr:uid="{00000000-0005-0000-0000-000070350000}"/>
    <cellStyle name="Normal 16 3 4" xfId="13681" xr:uid="{00000000-0005-0000-0000-000071350000}"/>
    <cellStyle name="Normal 16 3 4 2" xfId="13682" xr:uid="{00000000-0005-0000-0000-000072350000}"/>
    <cellStyle name="Normal 16 3 4 2 2" xfId="13683" xr:uid="{00000000-0005-0000-0000-000073350000}"/>
    <cellStyle name="Normal 16 3 4 3" xfId="13684" xr:uid="{00000000-0005-0000-0000-000074350000}"/>
    <cellStyle name="Normal 16 3 5" xfId="13685" xr:uid="{00000000-0005-0000-0000-000075350000}"/>
    <cellStyle name="Normal 16 3 5 2" xfId="13686" xr:uid="{00000000-0005-0000-0000-000076350000}"/>
    <cellStyle name="Normal 16 3 5 2 2" xfId="13687" xr:uid="{00000000-0005-0000-0000-000077350000}"/>
    <cellStyle name="Normal 16 3 5 3" xfId="13688" xr:uid="{00000000-0005-0000-0000-000078350000}"/>
    <cellStyle name="Normal 16 3 6" xfId="13689" xr:uid="{00000000-0005-0000-0000-000079350000}"/>
    <cellStyle name="Normal 16 4" xfId="13690" xr:uid="{00000000-0005-0000-0000-00007A350000}"/>
    <cellStyle name="Normal 16 4 2" xfId="13691" xr:uid="{00000000-0005-0000-0000-00007B350000}"/>
    <cellStyle name="Normal 16 4 2 2" xfId="13692" xr:uid="{00000000-0005-0000-0000-00007C350000}"/>
    <cellStyle name="Normal 16 4 3" xfId="13693" xr:uid="{00000000-0005-0000-0000-00007D350000}"/>
    <cellStyle name="Normal 16 4 3 2" xfId="13694" xr:uid="{00000000-0005-0000-0000-00007E350000}"/>
    <cellStyle name="Normal 16 4 3 2 2" xfId="13695" xr:uid="{00000000-0005-0000-0000-00007F350000}"/>
    <cellStyle name="Normal 16 4 3 3" xfId="13696" xr:uid="{00000000-0005-0000-0000-000080350000}"/>
    <cellStyle name="Normal 16 4 4" xfId="13697" xr:uid="{00000000-0005-0000-0000-000081350000}"/>
    <cellStyle name="Normal 16 4 4 2" xfId="13698" xr:uid="{00000000-0005-0000-0000-000082350000}"/>
    <cellStyle name="Normal 16 4 4 2 2" xfId="13699" xr:uid="{00000000-0005-0000-0000-000083350000}"/>
    <cellStyle name="Normal 16 4 4 3" xfId="13700" xr:uid="{00000000-0005-0000-0000-000084350000}"/>
    <cellStyle name="Normal 16 4 5" xfId="13701" xr:uid="{00000000-0005-0000-0000-000085350000}"/>
    <cellStyle name="Normal 16 5" xfId="13702" xr:uid="{00000000-0005-0000-0000-000086350000}"/>
    <cellStyle name="Normal 16 5 2" xfId="13703" xr:uid="{00000000-0005-0000-0000-000087350000}"/>
    <cellStyle name="Normal 16 5 2 2" xfId="13704" xr:uid="{00000000-0005-0000-0000-000088350000}"/>
    <cellStyle name="Normal 16 5 2 2 2" xfId="13705" xr:uid="{00000000-0005-0000-0000-000089350000}"/>
    <cellStyle name="Normal 16 5 2 3" xfId="13706" xr:uid="{00000000-0005-0000-0000-00008A350000}"/>
    <cellStyle name="Normal 16 5 2 3 2" xfId="13707" xr:uid="{00000000-0005-0000-0000-00008B350000}"/>
    <cellStyle name="Normal 16 5 2 3 2 2" xfId="13708" xr:uid="{00000000-0005-0000-0000-00008C350000}"/>
    <cellStyle name="Normal 16 5 2 3 3" xfId="13709" xr:uid="{00000000-0005-0000-0000-00008D350000}"/>
    <cellStyle name="Normal 16 5 2 4" xfId="13710" xr:uid="{00000000-0005-0000-0000-00008E350000}"/>
    <cellStyle name="Normal 16 5 3" xfId="13711" xr:uid="{00000000-0005-0000-0000-00008F350000}"/>
    <cellStyle name="Normal 16 5 3 2" xfId="13712" xr:uid="{00000000-0005-0000-0000-000090350000}"/>
    <cellStyle name="Normal 16 5 3 2 2" xfId="13713" xr:uid="{00000000-0005-0000-0000-000091350000}"/>
    <cellStyle name="Normal 16 5 3 3" xfId="13714" xr:uid="{00000000-0005-0000-0000-000092350000}"/>
    <cellStyle name="Normal 16 5 4" xfId="13715" xr:uid="{00000000-0005-0000-0000-000093350000}"/>
    <cellStyle name="Normal 16 5 4 2" xfId="13716" xr:uid="{00000000-0005-0000-0000-000094350000}"/>
    <cellStyle name="Normal 16 5 4 2 2" xfId="13717" xr:uid="{00000000-0005-0000-0000-000095350000}"/>
    <cellStyle name="Normal 16 5 4 3" xfId="13718" xr:uid="{00000000-0005-0000-0000-000096350000}"/>
    <cellStyle name="Normal 16 5 5" xfId="13719" xr:uid="{00000000-0005-0000-0000-000097350000}"/>
    <cellStyle name="Normal 16 5 5 2" xfId="13720" xr:uid="{00000000-0005-0000-0000-000098350000}"/>
    <cellStyle name="Normal 16 5 5 2 2" xfId="13721" xr:uid="{00000000-0005-0000-0000-000099350000}"/>
    <cellStyle name="Normal 16 5 5 3" xfId="13722" xr:uid="{00000000-0005-0000-0000-00009A350000}"/>
    <cellStyle name="Normal 16 5 6" xfId="13723" xr:uid="{00000000-0005-0000-0000-00009B350000}"/>
    <cellStyle name="Normal 16 6" xfId="13724" xr:uid="{00000000-0005-0000-0000-00009C350000}"/>
    <cellStyle name="Normal 16 7" xfId="13725" xr:uid="{00000000-0005-0000-0000-00009D350000}"/>
    <cellStyle name="Normal 160" xfId="13726" xr:uid="{00000000-0005-0000-0000-00009E350000}"/>
    <cellStyle name="Normal 160 2" xfId="13727" xr:uid="{00000000-0005-0000-0000-00009F350000}"/>
    <cellStyle name="Normal 160 2 2" xfId="13728" xr:uid="{00000000-0005-0000-0000-0000A0350000}"/>
    <cellStyle name="Normal 160 2 2 2" xfId="13729" xr:uid="{00000000-0005-0000-0000-0000A1350000}"/>
    <cellStyle name="Normal 160 2 3" xfId="13730" xr:uid="{00000000-0005-0000-0000-0000A2350000}"/>
    <cellStyle name="Normal 160 2 3 2" xfId="13731" xr:uid="{00000000-0005-0000-0000-0000A3350000}"/>
    <cellStyle name="Normal 160 2 3 2 2" xfId="13732" xr:uid="{00000000-0005-0000-0000-0000A4350000}"/>
    <cellStyle name="Normal 160 2 3 3" xfId="13733" xr:uid="{00000000-0005-0000-0000-0000A5350000}"/>
    <cellStyle name="Normal 160 2 4" xfId="13734" xr:uid="{00000000-0005-0000-0000-0000A6350000}"/>
    <cellStyle name="Normal 160 2 4 2" xfId="13735" xr:uid="{00000000-0005-0000-0000-0000A7350000}"/>
    <cellStyle name="Normal 160 2 4 2 2" xfId="13736" xr:uid="{00000000-0005-0000-0000-0000A8350000}"/>
    <cellStyle name="Normal 160 2 4 3" xfId="13737" xr:uid="{00000000-0005-0000-0000-0000A9350000}"/>
    <cellStyle name="Normal 160 2 5" xfId="13738" xr:uid="{00000000-0005-0000-0000-0000AA350000}"/>
    <cellStyle name="Normal 160 3" xfId="13739" xr:uid="{00000000-0005-0000-0000-0000AB350000}"/>
    <cellStyle name="Normal 160 3 2" xfId="13740" xr:uid="{00000000-0005-0000-0000-0000AC350000}"/>
    <cellStyle name="Normal 160 3 2 2" xfId="13741" xr:uid="{00000000-0005-0000-0000-0000AD350000}"/>
    <cellStyle name="Normal 160 3 2 2 2" xfId="13742" xr:uid="{00000000-0005-0000-0000-0000AE350000}"/>
    <cellStyle name="Normal 160 3 2 3" xfId="13743" xr:uid="{00000000-0005-0000-0000-0000AF350000}"/>
    <cellStyle name="Normal 160 3 2 3 2" xfId="13744" xr:uid="{00000000-0005-0000-0000-0000B0350000}"/>
    <cellStyle name="Normal 160 3 2 3 2 2" xfId="13745" xr:uid="{00000000-0005-0000-0000-0000B1350000}"/>
    <cellStyle name="Normal 160 3 2 3 3" xfId="13746" xr:uid="{00000000-0005-0000-0000-0000B2350000}"/>
    <cellStyle name="Normal 160 3 2 4" xfId="13747" xr:uid="{00000000-0005-0000-0000-0000B3350000}"/>
    <cellStyle name="Normal 160 3 3" xfId="13748" xr:uid="{00000000-0005-0000-0000-0000B4350000}"/>
    <cellStyle name="Normal 160 3 3 2" xfId="13749" xr:uid="{00000000-0005-0000-0000-0000B5350000}"/>
    <cellStyle name="Normal 160 3 3 2 2" xfId="13750" xr:uid="{00000000-0005-0000-0000-0000B6350000}"/>
    <cellStyle name="Normal 160 3 3 3" xfId="13751" xr:uid="{00000000-0005-0000-0000-0000B7350000}"/>
    <cellStyle name="Normal 160 3 4" xfId="13752" xr:uid="{00000000-0005-0000-0000-0000B8350000}"/>
    <cellStyle name="Normal 160 3 4 2" xfId="13753" xr:uid="{00000000-0005-0000-0000-0000B9350000}"/>
    <cellStyle name="Normal 160 3 4 2 2" xfId="13754" xr:uid="{00000000-0005-0000-0000-0000BA350000}"/>
    <cellStyle name="Normal 160 3 4 3" xfId="13755" xr:uid="{00000000-0005-0000-0000-0000BB350000}"/>
    <cellStyle name="Normal 160 3 5" xfId="13756" xr:uid="{00000000-0005-0000-0000-0000BC350000}"/>
    <cellStyle name="Normal 160 3 5 2" xfId="13757" xr:uid="{00000000-0005-0000-0000-0000BD350000}"/>
    <cellStyle name="Normal 160 3 5 2 2" xfId="13758" xr:uid="{00000000-0005-0000-0000-0000BE350000}"/>
    <cellStyle name="Normal 160 3 5 3" xfId="13759" xr:uid="{00000000-0005-0000-0000-0000BF350000}"/>
    <cellStyle name="Normal 160 3 6" xfId="13760" xr:uid="{00000000-0005-0000-0000-0000C0350000}"/>
    <cellStyle name="Normal 160 4" xfId="13761" xr:uid="{00000000-0005-0000-0000-0000C1350000}"/>
    <cellStyle name="Normal 160 4 2" xfId="13762" xr:uid="{00000000-0005-0000-0000-0000C2350000}"/>
    <cellStyle name="Normal 160 4 2 2" xfId="13763" xr:uid="{00000000-0005-0000-0000-0000C3350000}"/>
    <cellStyle name="Normal 160 4 3" xfId="13764" xr:uid="{00000000-0005-0000-0000-0000C4350000}"/>
    <cellStyle name="Normal 160 5" xfId="13765" xr:uid="{00000000-0005-0000-0000-0000C5350000}"/>
    <cellStyle name="Normal 160 5 2" xfId="13766" xr:uid="{00000000-0005-0000-0000-0000C6350000}"/>
    <cellStyle name="Normal 160 5 2 2" xfId="13767" xr:uid="{00000000-0005-0000-0000-0000C7350000}"/>
    <cellStyle name="Normal 160 5 3" xfId="13768" xr:uid="{00000000-0005-0000-0000-0000C8350000}"/>
    <cellStyle name="Normal 160 6" xfId="13769" xr:uid="{00000000-0005-0000-0000-0000C9350000}"/>
    <cellStyle name="Normal 160 6 2" xfId="13770" xr:uid="{00000000-0005-0000-0000-0000CA350000}"/>
    <cellStyle name="Normal 160 6 2 2" xfId="13771" xr:uid="{00000000-0005-0000-0000-0000CB350000}"/>
    <cellStyle name="Normal 160 6 3" xfId="13772" xr:uid="{00000000-0005-0000-0000-0000CC350000}"/>
    <cellStyle name="Normal 160 7" xfId="13773" xr:uid="{00000000-0005-0000-0000-0000CD350000}"/>
    <cellStyle name="Normal 161" xfId="13774" xr:uid="{00000000-0005-0000-0000-0000CE350000}"/>
    <cellStyle name="Normal 161 2" xfId="13775" xr:uid="{00000000-0005-0000-0000-0000CF350000}"/>
    <cellStyle name="Normal 161 2 2" xfId="13776" xr:uid="{00000000-0005-0000-0000-0000D0350000}"/>
    <cellStyle name="Normal 161 2 2 2" xfId="13777" xr:uid="{00000000-0005-0000-0000-0000D1350000}"/>
    <cellStyle name="Normal 161 2 3" xfId="13778" xr:uid="{00000000-0005-0000-0000-0000D2350000}"/>
    <cellStyle name="Normal 161 2 3 2" xfId="13779" xr:uid="{00000000-0005-0000-0000-0000D3350000}"/>
    <cellStyle name="Normal 161 2 3 2 2" xfId="13780" xr:uid="{00000000-0005-0000-0000-0000D4350000}"/>
    <cellStyle name="Normal 161 2 3 3" xfId="13781" xr:uid="{00000000-0005-0000-0000-0000D5350000}"/>
    <cellStyle name="Normal 161 2 4" xfId="13782" xr:uid="{00000000-0005-0000-0000-0000D6350000}"/>
    <cellStyle name="Normal 161 2 4 2" xfId="13783" xr:uid="{00000000-0005-0000-0000-0000D7350000}"/>
    <cellStyle name="Normal 161 2 4 2 2" xfId="13784" xr:uid="{00000000-0005-0000-0000-0000D8350000}"/>
    <cellStyle name="Normal 161 2 4 3" xfId="13785" xr:uid="{00000000-0005-0000-0000-0000D9350000}"/>
    <cellStyle name="Normal 161 2 5" xfId="13786" xr:uid="{00000000-0005-0000-0000-0000DA350000}"/>
    <cellStyle name="Normal 161 3" xfId="13787" xr:uid="{00000000-0005-0000-0000-0000DB350000}"/>
    <cellStyle name="Normal 161 3 2" xfId="13788" xr:uid="{00000000-0005-0000-0000-0000DC350000}"/>
    <cellStyle name="Normal 161 3 2 2" xfId="13789" xr:uid="{00000000-0005-0000-0000-0000DD350000}"/>
    <cellStyle name="Normal 161 3 2 2 2" xfId="13790" xr:uid="{00000000-0005-0000-0000-0000DE350000}"/>
    <cellStyle name="Normal 161 3 2 3" xfId="13791" xr:uid="{00000000-0005-0000-0000-0000DF350000}"/>
    <cellStyle name="Normal 161 3 2 3 2" xfId="13792" xr:uid="{00000000-0005-0000-0000-0000E0350000}"/>
    <cellStyle name="Normal 161 3 2 3 2 2" xfId="13793" xr:uid="{00000000-0005-0000-0000-0000E1350000}"/>
    <cellStyle name="Normal 161 3 2 3 3" xfId="13794" xr:uid="{00000000-0005-0000-0000-0000E2350000}"/>
    <cellStyle name="Normal 161 3 2 4" xfId="13795" xr:uid="{00000000-0005-0000-0000-0000E3350000}"/>
    <cellStyle name="Normal 161 3 3" xfId="13796" xr:uid="{00000000-0005-0000-0000-0000E4350000}"/>
    <cellStyle name="Normal 161 3 3 2" xfId="13797" xr:uid="{00000000-0005-0000-0000-0000E5350000}"/>
    <cellStyle name="Normal 161 3 3 2 2" xfId="13798" xr:uid="{00000000-0005-0000-0000-0000E6350000}"/>
    <cellStyle name="Normal 161 3 3 3" xfId="13799" xr:uid="{00000000-0005-0000-0000-0000E7350000}"/>
    <cellStyle name="Normal 161 3 4" xfId="13800" xr:uid="{00000000-0005-0000-0000-0000E8350000}"/>
    <cellStyle name="Normal 161 3 4 2" xfId="13801" xr:uid="{00000000-0005-0000-0000-0000E9350000}"/>
    <cellStyle name="Normal 161 3 4 2 2" xfId="13802" xr:uid="{00000000-0005-0000-0000-0000EA350000}"/>
    <cellStyle name="Normal 161 3 4 3" xfId="13803" xr:uid="{00000000-0005-0000-0000-0000EB350000}"/>
    <cellStyle name="Normal 161 3 5" xfId="13804" xr:uid="{00000000-0005-0000-0000-0000EC350000}"/>
    <cellStyle name="Normal 161 3 5 2" xfId="13805" xr:uid="{00000000-0005-0000-0000-0000ED350000}"/>
    <cellStyle name="Normal 161 3 5 2 2" xfId="13806" xr:uid="{00000000-0005-0000-0000-0000EE350000}"/>
    <cellStyle name="Normal 161 3 5 3" xfId="13807" xr:uid="{00000000-0005-0000-0000-0000EF350000}"/>
    <cellStyle name="Normal 161 3 6" xfId="13808" xr:uid="{00000000-0005-0000-0000-0000F0350000}"/>
    <cellStyle name="Normal 161 4" xfId="13809" xr:uid="{00000000-0005-0000-0000-0000F1350000}"/>
    <cellStyle name="Normal 161 4 2" xfId="13810" xr:uid="{00000000-0005-0000-0000-0000F2350000}"/>
    <cellStyle name="Normal 161 4 2 2" xfId="13811" xr:uid="{00000000-0005-0000-0000-0000F3350000}"/>
    <cellStyle name="Normal 161 4 3" xfId="13812" xr:uid="{00000000-0005-0000-0000-0000F4350000}"/>
    <cellStyle name="Normal 161 5" xfId="13813" xr:uid="{00000000-0005-0000-0000-0000F5350000}"/>
    <cellStyle name="Normal 161 5 2" xfId="13814" xr:uid="{00000000-0005-0000-0000-0000F6350000}"/>
    <cellStyle name="Normal 161 5 2 2" xfId="13815" xr:uid="{00000000-0005-0000-0000-0000F7350000}"/>
    <cellStyle name="Normal 161 5 3" xfId="13816" xr:uid="{00000000-0005-0000-0000-0000F8350000}"/>
    <cellStyle name="Normal 161 6" xfId="13817" xr:uid="{00000000-0005-0000-0000-0000F9350000}"/>
    <cellStyle name="Normal 161 6 2" xfId="13818" xr:uid="{00000000-0005-0000-0000-0000FA350000}"/>
    <cellStyle name="Normal 161 6 2 2" xfId="13819" xr:uid="{00000000-0005-0000-0000-0000FB350000}"/>
    <cellStyle name="Normal 161 6 3" xfId="13820" xr:uid="{00000000-0005-0000-0000-0000FC350000}"/>
    <cellStyle name="Normal 161 7" xfId="13821" xr:uid="{00000000-0005-0000-0000-0000FD350000}"/>
    <cellStyle name="Normal 162" xfId="13822" xr:uid="{00000000-0005-0000-0000-0000FE350000}"/>
    <cellStyle name="Normal 162 2" xfId="13823" xr:uid="{00000000-0005-0000-0000-0000FF350000}"/>
    <cellStyle name="Normal 162 2 2" xfId="13824" xr:uid="{00000000-0005-0000-0000-000000360000}"/>
    <cellStyle name="Normal 162 2 2 2" xfId="13825" xr:uid="{00000000-0005-0000-0000-000001360000}"/>
    <cellStyle name="Normal 162 2 3" xfId="13826" xr:uid="{00000000-0005-0000-0000-000002360000}"/>
    <cellStyle name="Normal 162 2 3 2" xfId="13827" xr:uid="{00000000-0005-0000-0000-000003360000}"/>
    <cellStyle name="Normal 162 2 3 2 2" xfId="13828" xr:uid="{00000000-0005-0000-0000-000004360000}"/>
    <cellStyle name="Normal 162 2 3 3" xfId="13829" xr:uid="{00000000-0005-0000-0000-000005360000}"/>
    <cellStyle name="Normal 162 2 4" xfId="13830" xr:uid="{00000000-0005-0000-0000-000006360000}"/>
    <cellStyle name="Normal 162 2 4 2" xfId="13831" xr:uid="{00000000-0005-0000-0000-000007360000}"/>
    <cellStyle name="Normal 162 2 4 2 2" xfId="13832" xr:uid="{00000000-0005-0000-0000-000008360000}"/>
    <cellStyle name="Normal 162 2 4 3" xfId="13833" xr:uid="{00000000-0005-0000-0000-000009360000}"/>
    <cellStyle name="Normal 162 2 5" xfId="13834" xr:uid="{00000000-0005-0000-0000-00000A360000}"/>
    <cellStyle name="Normal 162 3" xfId="13835" xr:uid="{00000000-0005-0000-0000-00000B360000}"/>
    <cellStyle name="Normal 162 3 2" xfId="13836" xr:uid="{00000000-0005-0000-0000-00000C360000}"/>
    <cellStyle name="Normal 162 3 2 2" xfId="13837" xr:uid="{00000000-0005-0000-0000-00000D360000}"/>
    <cellStyle name="Normal 162 3 2 2 2" xfId="13838" xr:uid="{00000000-0005-0000-0000-00000E360000}"/>
    <cellStyle name="Normal 162 3 2 3" xfId="13839" xr:uid="{00000000-0005-0000-0000-00000F360000}"/>
    <cellStyle name="Normal 162 3 2 3 2" xfId="13840" xr:uid="{00000000-0005-0000-0000-000010360000}"/>
    <cellStyle name="Normal 162 3 2 3 2 2" xfId="13841" xr:uid="{00000000-0005-0000-0000-000011360000}"/>
    <cellStyle name="Normal 162 3 2 3 3" xfId="13842" xr:uid="{00000000-0005-0000-0000-000012360000}"/>
    <cellStyle name="Normal 162 3 2 4" xfId="13843" xr:uid="{00000000-0005-0000-0000-000013360000}"/>
    <cellStyle name="Normal 162 3 3" xfId="13844" xr:uid="{00000000-0005-0000-0000-000014360000}"/>
    <cellStyle name="Normal 162 3 3 2" xfId="13845" xr:uid="{00000000-0005-0000-0000-000015360000}"/>
    <cellStyle name="Normal 162 3 3 2 2" xfId="13846" xr:uid="{00000000-0005-0000-0000-000016360000}"/>
    <cellStyle name="Normal 162 3 3 3" xfId="13847" xr:uid="{00000000-0005-0000-0000-000017360000}"/>
    <cellStyle name="Normal 162 3 4" xfId="13848" xr:uid="{00000000-0005-0000-0000-000018360000}"/>
    <cellStyle name="Normal 162 3 4 2" xfId="13849" xr:uid="{00000000-0005-0000-0000-000019360000}"/>
    <cellStyle name="Normal 162 3 4 2 2" xfId="13850" xr:uid="{00000000-0005-0000-0000-00001A360000}"/>
    <cellStyle name="Normal 162 3 4 3" xfId="13851" xr:uid="{00000000-0005-0000-0000-00001B360000}"/>
    <cellStyle name="Normal 162 3 5" xfId="13852" xr:uid="{00000000-0005-0000-0000-00001C360000}"/>
    <cellStyle name="Normal 162 3 5 2" xfId="13853" xr:uid="{00000000-0005-0000-0000-00001D360000}"/>
    <cellStyle name="Normal 162 3 5 2 2" xfId="13854" xr:uid="{00000000-0005-0000-0000-00001E360000}"/>
    <cellStyle name="Normal 162 3 5 3" xfId="13855" xr:uid="{00000000-0005-0000-0000-00001F360000}"/>
    <cellStyle name="Normal 162 3 6" xfId="13856" xr:uid="{00000000-0005-0000-0000-000020360000}"/>
    <cellStyle name="Normal 162 4" xfId="13857" xr:uid="{00000000-0005-0000-0000-000021360000}"/>
    <cellStyle name="Normal 162 4 2" xfId="13858" xr:uid="{00000000-0005-0000-0000-000022360000}"/>
    <cellStyle name="Normal 162 4 2 2" xfId="13859" xr:uid="{00000000-0005-0000-0000-000023360000}"/>
    <cellStyle name="Normal 162 4 3" xfId="13860" xr:uid="{00000000-0005-0000-0000-000024360000}"/>
    <cellStyle name="Normal 162 5" xfId="13861" xr:uid="{00000000-0005-0000-0000-000025360000}"/>
    <cellStyle name="Normal 162 5 2" xfId="13862" xr:uid="{00000000-0005-0000-0000-000026360000}"/>
    <cellStyle name="Normal 162 5 2 2" xfId="13863" xr:uid="{00000000-0005-0000-0000-000027360000}"/>
    <cellStyle name="Normal 162 5 3" xfId="13864" xr:uid="{00000000-0005-0000-0000-000028360000}"/>
    <cellStyle name="Normal 162 6" xfId="13865" xr:uid="{00000000-0005-0000-0000-000029360000}"/>
    <cellStyle name="Normal 162 6 2" xfId="13866" xr:uid="{00000000-0005-0000-0000-00002A360000}"/>
    <cellStyle name="Normal 162 6 2 2" xfId="13867" xr:uid="{00000000-0005-0000-0000-00002B360000}"/>
    <cellStyle name="Normal 162 6 3" xfId="13868" xr:uid="{00000000-0005-0000-0000-00002C360000}"/>
    <cellStyle name="Normal 162 7" xfId="13869" xr:uid="{00000000-0005-0000-0000-00002D360000}"/>
    <cellStyle name="Normal 163" xfId="13870" xr:uid="{00000000-0005-0000-0000-00002E360000}"/>
    <cellStyle name="Normal 163 2" xfId="13871" xr:uid="{00000000-0005-0000-0000-00002F360000}"/>
    <cellStyle name="Normal 163 2 2" xfId="13872" xr:uid="{00000000-0005-0000-0000-000030360000}"/>
    <cellStyle name="Normal 163 2 2 2" xfId="13873" xr:uid="{00000000-0005-0000-0000-000031360000}"/>
    <cellStyle name="Normal 163 2 3" xfId="13874" xr:uid="{00000000-0005-0000-0000-000032360000}"/>
    <cellStyle name="Normal 163 2 3 2" xfId="13875" xr:uid="{00000000-0005-0000-0000-000033360000}"/>
    <cellStyle name="Normal 163 2 3 2 2" xfId="13876" xr:uid="{00000000-0005-0000-0000-000034360000}"/>
    <cellStyle name="Normal 163 2 3 3" xfId="13877" xr:uid="{00000000-0005-0000-0000-000035360000}"/>
    <cellStyle name="Normal 163 2 4" xfId="13878" xr:uid="{00000000-0005-0000-0000-000036360000}"/>
    <cellStyle name="Normal 163 2 4 2" xfId="13879" xr:uid="{00000000-0005-0000-0000-000037360000}"/>
    <cellStyle name="Normal 163 2 4 2 2" xfId="13880" xr:uid="{00000000-0005-0000-0000-000038360000}"/>
    <cellStyle name="Normal 163 2 4 3" xfId="13881" xr:uid="{00000000-0005-0000-0000-000039360000}"/>
    <cellStyle name="Normal 163 2 5" xfId="13882" xr:uid="{00000000-0005-0000-0000-00003A360000}"/>
    <cellStyle name="Normal 163 3" xfId="13883" xr:uid="{00000000-0005-0000-0000-00003B360000}"/>
    <cellStyle name="Normal 163 3 2" xfId="13884" xr:uid="{00000000-0005-0000-0000-00003C360000}"/>
    <cellStyle name="Normal 163 3 2 2" xfId="13885" xr:uid="{00000000-0005-0000-0000-00003D360000}"/>
    <cellStyle name="Normal 163 3 2 2 2" xfId="13886" xr:uid="{00000000-0005-0000-0000-00003E360000}"/>
    <cellStyle name="Normal 163 3 2 3" xfId="13887" xr:uid="{00000000-0005-0000-0000-00003F360000}"/>
    <cellStyle name="Normal 163 3 2 3 2" xfId="13888" xr:uid="{00000000-0005-0000-0000-000040360000}"/>
    <cellStyle name="Normal 163 3 2 3 2 2" xfId="13889" xr:uid="{00000000-0005-0000-0000-000041360000}"/>
    <cellStyle name="Normal 163 3 2 3 3" xfId="13890" xr:uid="{00000000-0005-0000-0000-000042360000}"/>
    <cellStyle name="Normal 163 3 2 4" xfId="13891" xr:uid="{00000000-0005-0000-0000-000043360000}"/>
    <cellStyle name="Normal 163 3 3" xfId="13892" xr:uid="{00000000-0005-0000-0000-000044360000}"/>
    <cellStyle name="Normal 163 3 3 2" xfId="13893" xr:uid="{00000000-0005-0000-0000-000045360000}"/>
    <cellStyle name="Normal 163 3 3 2 2" xfId="13894" xr:uid="{00000000-0005-0000-0000-000046360000}"/>
    <cellStyle name="Normal 163 3 3 3" xfId="13895" xr:uid="{00000000-0005-0000-0000-000047360000}"/>
    <cellStyle name="Normal 163 3 4" xfId="13896" xr:uid="{00000000-0005-0000-0000-000048360000}"/>
    <cellStyle name="Normal 163 3 4 2" xfId="13897" xr:uid="{00000000-0005-0000-0000-000049360000}"/>
    <cellStyle name="Normal 163 3 4 2 2" xfId="13898" xr:uid="{00000000-0005-0000-0000-00004A360000}"/>
    <cellStyle name="Normal 163 3 4 3" xfId="13899" xr:uid="{00000000-0005-0000-0000-00004B360000}"/>
    <cellStyle name="Normal 163 3 5" xfId="13900" xr:uid="{00000000-0005-0000-0000-00004C360000}"/>
    <cellStyle name="Normal 163 3 5 2" xfId="13901" xr:uid="{00000000-0005-0000-0000-00004D360000}"/>
    <cellStyle name="Normal 163 3 5 2 2" xfId="13902" xr:uid="{00000000-0005-0000-0000-00004E360000}"/>
    <cellStyle name="Normal 163 3 5 3" xfId="13903" xr:uid="{00000000-0005-0000-0000-00004F360000}"/>
    <cellStyle name="Normal 163 3 6" xfId="13904" xr:uid="{00000000-0005-0000-0000-000050360000}"/>
    <cellStyle name="Normal 163 4" xfId="13905" xr:uid="{00000000-0005-0000-0000-000051360000}"/>
    <cellStyle name="Normal 163 4 2" xfId="13906" xr:uid="{00000000-0005-0000-0000-000052360000}"/>
    <cellStyle name="Normal 163 4 2 2" xfId="13907" xr:uid="{00000000-0005-0000-0000-000053360000}"/>
    <cellStyle name="Normal 163 4 3" xfId="13908" xr:uid="{00000000-0005-0000-0000-000054360000}"/>
    <cellStyle name="Normal 163 5" xfId="13909" xr:uid="{00000000-0005-0000-0000-000055360000}"/>
    <cellStyle name="Normal 163 5 2" xfId="13910" xr:uid="{00000000-0005-0000-0000-000056360000}"/>
    <cellStyle name="Normal 163 5 2 2" xfId="13911" xr:uid="{00000000-0005-0000-0000-000057360000}"/>
    <cellStyle name="Normal 163 5 3" xfId="13912" xr:uid="{00000000-0005-0000-0000-000058360000}"/>
    <cellStyle name="Normal 163 6" xfId="13913" xr:uid="{00000000-0005-0000-0000-000059360000}"/>
    <cellStyle name="Normal 163 6 2" xfId="13914" xr:uid="{00000000-0005-0000-0000-00005A360000}"/>
    <cellStyle name="Normal 163 6 2 2" xfId="13915" xr:uid="{00000000-0005-0000-0000-00005B360000}"/>
    <cellStyle name="Normal 163 6 3" xfId="13916" xr:uid="{00000000-0005-0000-0000-00005C360000}"/>
    <cellStyle name="Normal 163 7" xfId="13917" xr:uid="{00000000-0005-0000-0000-00005D360000}"/>
    <cellStyle name="Normal 164" xfId="13918" xr:uid="{00000000-0005-0000-0000-00005E360000}"/>
    <cellStyle name="Normal 164 2" xfId="13919" xr:uid="{00000000-0005-0000-0000-00005F360000}"/>
    <cellStyle name="Normal 164 2 2" xfId="13920" xr:uid="{00000000-0005-0000-0000-000060360000}"/>
    <cellStyle name="Normal 164 2 2 2" xfId="13921" xr:uid="{00000000-0005-0000-0000-000061360000}"/>
    <cellStyle name="Normal 164 2 3" xfId="13922" xr:uid="{00000000-0005-0000-0000-000062360000}"/>
    <cellStyle name="Normal 164 2 3 2" xfId="13923" xr:uid="{00000000-0005-0000-0000-000063360000}"/>
    <cellStyle name="Normal 164 2 3 2 2" xfId="13924" xr:uid="{00000000-0005-0000-0000-000064360000}"/>
    <cellStyle name="Normal 164 2 3 3" xfId="13925" xr:uid="{00000000-0005-0000-0000-000065360000}"/>
    <cellStyle name="Normal 164 2 4" xfId="13926" xr:uid="{00000000-0005-0000-0000-000066360000}"/>
    <cellStyle name="Normal 164 2 4 2" xfId="13927" xr:uid="{00000000-0005-0000-0000-000067360000}"/>
    <cellStyle name="Normal 164 2 4 2 2" xfId="13928" xr:uid="{00000000-0005-0000-0000-000068360000}"/>
    <cellStyle name="Normal 164 2 4 3" xfId="13929" xr:uid="{00000000-0005-0000-0000-000069360000}"/>
    <cellStyle name="Normal 164 2 5" xfId="13930" xr:uid="{00000000-0005-0000-0000-00006A360000}"/>
    <cellStyle name="Normal 164 3" xfId="13931" xr:uid="{00000000-0005-0000-0000-00006B360000}"/>
    <cellStyle name="Normal 164 3 2" xfId="13932" xr:uid="{00000000-0005-0000-0000-00006C360000}"/>
    <cellStyle name="Normal 164 3 2 2" xfId="13933" xr:uid="{00000000-0005-0000-0000-00006D360000}"/>
    <cellStyle name="Normal 164 3 2 2 2" xfId="13934" xr:uid="{00000000-0005-0000-0000-00006E360000}"/>
    <cellStyle name="Normal 164 3 2 3" xfId="13935" xr:uid="{00000000-0005-0000-0000-00006F360000}"/>
    <cellStyle name="Normal 164 3 2 3 2" xfId="13936" xr:uid="{00000000-0005-0000-0000-000070360000}"/>
    <cellStyle name="Normal 164 3 2 3 2 2" xfId="13937" xr:uid="{00000000-0005-0000-0000-000071360000}"/>
    <cellStyle name="Normal 164 3 2 3 3" xfId="13938" xr:uid="{00000000-0005-0000-0000-000072360000}"/>
    <cellStyle name="Normal 164 3 2 4" xfId="13939" xr:uid="{00000000-0005-0000-0000-000073360000}"/>
    <cellStyle name="Normal 164 3 3" xfId="13940" xr:uid="{00000000-0005-0000-0000-000074360000}"/>
    <cellStyle name="Normal 164 3 3 2" xfId="13941" xr:uid="{00000000-0005-0000-0000-000075360000}"/>
    <cellStyle name="Normal 164 3 3 2 2" xfId="13942" xr:uid="{00000000-0005-0000-0000-000076360000}"/>
    <cellStyle name="Normal 164 3 3 3" xfId="13943" xr:uid="{00000000-0005-0000-0000-000077360000}"/>
    <cellStyle name="Normal 164 3 4" xfId="13944" xr:uid="{00000000-0005-0000-0000-000078360000}"/>
    <cellStyle name="Normal 164 3 4 2" xfId="13945" xr:uid="{00000000-0005-0000-0000-000079360000}"/>
    <cellStyle name="Normal 164 3 4 2 2" xfId="13946" xr:uid="{00000000-0005-0000-0000-00007A360000}"/>
    <cellStyle name="Normal 164 3 4 3" xfId="13947" xr:uid="{00000000-0005-0000-0000-00007B360000}"/>
    <cellStyle name="Normal 164 3 5" xfId="13948" xr:uid="{00000000-0005-0000-0000-00007C360000}"/>
    <cellStyle name="Normal 164 3 5 2" xfId="13949" xr:uid="{00000000-0005-0000-0000-00007D360000}"/>
    <cellStyle name="Normal 164 3 5 2 2" xfId="13950" xr:uid="{00000000-0005-0000-0000-00007E360000}"/>
    <cellStyle name="Normal 164 3 5 3" xfId="13951" xr:uid="{00000000-0005-0000-0000-00007F360000}"/>
    <cellStyle name="Normal 164 3 6" xfId="13952" xr:uid="{00000000-0005-0000-0000-000080360000}"/>
    <cellStyle name="Normal 164 4" xfId="13953" xr:uid="{00000000-0005-0000-0000-000081360000}"/>
    <cellStyle name="Normal 164 4 2" xfId="13954" xr:uid="{00000000-0005-0000-0000-000082360000}"/>
    <cellStyle name="Normal 164 4 2 2" xfId="13955" xr:uid="{00000000-0005-0000-0000-000083360000}"/>
    <cellStyle name="Normal 164 4 3" xfId="13956" xr:uid="{00000000-0005-0000-0000-000084360000}"/>
    <cellStyle name="Normal 164 5" xfId="13957" xr:uid="{00000000-0005-0000-0000-000085360000}"/>
    <cellStyle name="Normal 164 5 2" xfId="13958" xr:uid="{00000000-0005-0000-0000-000086360000}"/>
    <cellStyle name="Normal 164 5 2 2" xfId="13959" xr:uid="{00000000-0005-0000-0000-000087360000}"/>
    <cellStyle name="Normal 164 5 3" xfId="13960" xr:uid="{00000000-0005-0000-0000-000088360000}"/>
    <cellStyle name="Normal 164 6" xfId="13961" xr:uid="{00000000-0005-0000-0000-000089360000}"/>
    <cellStyle name="Normal 164 6 2" xfId="13962" xr:uid="{00000000-0005-0000-0000-00008A360000}"/>
    <cellStyle name="Normal 164 6 2 2" xfId="13963" xr:uid="{00000000-0005-0000-0000-00008B360000}"/>
    <cellStyle name="Normal 164 6 3" xfId="13964" xr:uid="{00000000-0005-0000-0000-00008C360000}"/>
    <cellStyle name="Normal 164 7" xfId="13965" xr:uid="{00000000-0005-0000-0000-00008D360000}"/>
    <cellStyle name="Normal 165" xfId="13966" xr:uid="{00000000-0005-0000-0000-00008E360000}"/>
    <cellStyle name="Normal 165 2" xfId="13967" xr:uid="{00000000-0005-0000-0000-00008F360000}"/>
    <cellStyle name="Normal 165 2 2" xfId="13968" xr:uid="{00000000-0005-0000-0000-000090360000}"/>
    <cellStyle name="Normal 165 2 2 2" xfId="13969" xr:uid="{00000000-0005-0000-0000-000091360000}"/>
    <cellStyle name="Normal 165 2 3" xfId="13970" xr:uid="{00000000-0005-0000-0000-000092360000}"/>
    <cellStyle name="Normal 165 2 3 2" xfId="13971" xr:uid="{00000000-0005-0000-0000-000093360000}"/>
    <cellStyle name="Normal 165 2 3 2 2" xfId="13972" xr:uid="{00000000-0005-0000-0000-000094360000}"/>
    <cellStyle name="Normal 165 2 3 3" xfId="13973" xr:uid="{00000000-0005-0000-0000-000095360000}"/>
    <cellStyle name="Normal 165 2 4" xfId="13974" xr:uid="{00000000-0005-0000-0000-000096360000}"/>
    <cellStyle name="Normal 165 2 4 2" xfId="13975" xr:uid="{00000000-0005-0000-0000-000097360000}"/>
    <cellStyle name="Normal 165 2 4 2 2" xfId="13976" xr:uid="{00000000-0005-0000-0000-000098360000}"/>
    <cellStyle name="Normal 165 2 4 3" xfId="13977" xr:uid="{00000000-0005-0000-0000-000099360000}"/>
    <cellStyle name="Normal 165 2 5" xfId="13978" xr:uid="{00000000-0005-0000-0000-00009A360000}"/>
    <cellStyle name="Normal 165 3" xfId="13979" xr:uid="{00000000-0005-0000-0000-00009B360000}"/>
    <cellStyle name="Normal 165 3 2" xfId="13980" xr:uid="{00000000-0005-0000-0000-00009C360000}"/>
    <cellStyle name="Normal 165 3 2 2" xfId="13981" xr:uid="{00000000-0005-0000-0000-00009D360000}"/>
    <cellStyle name="Normal 165 3 2 2 2" xfId="13982" xr:uid="{00000000-0005-0000-0000-00009E360000}"/>
    <cellStyle name="Normal 165 3 2 3" xfId="13983" xr:uid="{00000000-0005-0000-0000-00009F360000}"/>
    <cellStyle name="Normal 165 3 2 3 2" xfId="13984" xr:uid="{00000000-0005-0000-0000-0000A0360000}"/>
    <cellStyle name="Normal 165 3 2 3 2 2" xfId="13985" xr:uid="{00000000-0005-0000-0000-0000A1360000}"/>
    <cellStyle name="Normal 165 3 2 3 3" xfId="13986" xr:uid="{00000000-0005-0000-0000-0000A2360000}"/>
    <cellStyle name="Normal 165 3 2 4" xfId="13987" xr:uid="{00000000-0005-0000-0000-0000A3360000}"/>
    <cellStyle name="Normal 165 3 3" xfId="13988" xr:uid="{00000000-0005-0000-0000-0000A4360000}"/>
    <cellStyle name="Normal 165 3 3 2" xfId="13989" xr:uid="{00000000-0005-0000-0000-0000A5360000}"/>
    <cellStyle name="Normal 165 3 3 2 2" xfId="13990" xr:uid="{00000000-0005-0000-0000-0000A6360000}"/>
    <cellStyle name="Normal 165 3 3 3" xfId="13991" xr:uid="{00000000-0005-0000-0000-0000A7360000}"/>
    <cellStyle name="Normal 165 3 4" xfId="13992" xr:uid="{00000000-0005-0000-0000-0000A8360000}"/>
    <cellStyle name="Normal 165 3 4 2" xfId="13993" xr:uid="{00000000-0005-0000-0000-0000A9360000}"/>
    <cellStyle name="Normal 165 3 4 2 2" xfId="13994" xr:uid="{00000000-0005-0000-0000-0000AA360000}"/>
    <cellStyle name="Normal 165 3 4 3" xfId="13995" xr:uid="{00000000-0005-0000-0000-0000AB360000}"/>
    <cellStyle name="Normal 165 3 5" xfId="13996" xr:uid="{00000000-0005-0000-0000-0000AC360000}"/>
    <cellStyle name="Normal 165 3 5 2" xfId="13997" xr:uid="{00000000-0005-0000-0000-0000AD360000}"/>
    <cellStyle name="Normal 165 3 5 2 2" xfId="13998" xr:uid="{00000000-0005-0000-0000-0000AE360000}"/>
    <cellStyle name="Normal 165 3 5 3" xfId="13999" xr:uid="{00000000-0005-0000-0000-0000AF360000}"/>
    <cellStyle name="Normal 165 3 6" xfId="14000" xr:uid="{00000000-0005-0000-0000-0000B0360000}"/>
    <cellStyle name="Normal 165 4" xfId="14001" xr:uid="{00000000-0005-0000-0000-0000B1360000}"/>
    <cellStyle name="Normal 165 4 2" xfId="14002" xr:uid="{00000000-0005-0000-0000-0000B2360000}"/>
    <cellStyle name="Normal 165 4 2 2" xfId="14003" xr:uid="{00000000-0005-0000-0000-0000B3360000}"/>
    <cellStyle name="Normal 165 4 3" xfId="14004" xr:uid="{00000000-0005-0000-0000-0000B4360000}"/>
    <cellStyle name="Normal 165 5" xfId="14005" xr:uid="{00000000-0005-0000-0000-0000B5360000}"/>
    <cellStyle name="Normal 165 5 2" xfId="14006" xr:uid="{00000000-0005-0000-0000-0000B6360000}"/>
    <cellStyle name="Normal 165 5 2 2" xfId="14007" xr:uid="{00000000-0005-0000-0000-0000B7360000}"/>
    <cellStyle name="Normal 165 5 3" xfId="14008" xr:uid="{00000000-0005-0000-0000-0000B8360000}"/>
    <cellStyle name="Normal 165 6" xfId="14009" xr:uid="{00000000-0005-0000-0000-0000B9360000}"/>
    <cellStyle name="Normal 165 6 2" xfId="14010" xr:uid="{00000000-0005-0000-0000-0000BA360000}"/>
    <cellStyle name="Normal 165 6 2 2" xfId="14011" xr:uid="{00000000-0005-0000-0000-0000BB360000}"/>
    <cellStyle name="Normal 165 6 3" xfId="14012" xr:uid="{00000000-0005-0000-0000-0000BC360000}"/>
    <cellStyle name="Normal 165 7" xfId="14013" xr:uid="{00000000-0005-0000-0000-0000BD360000}"/>
    <cellStyle name="Normal 166" xfId="14014" xr:uid="{00000000-0005-0000-0000-0000BE360000}"/>
    <cellStyle name="Normal 166 2" xfId="14015" xr:uid="{00000000-0005-0000-0000-0000BF360000}"/>
    <cellStyle name="Normal 166 2 2" xfId="14016" xr:uid="{00000000-0005-0000-0000-0000C0360000}"/>
    <cellStyle name="Normal 166 2 2 2" xfId="14017" xr:uid="{00000000-0005-0000-0000-0000C1360000}"/>
    <cellStyle name="Normal 166 2 3" xfId="14018" xr:uid="{00000000-0005-0000-0000-0000C2360000}"/>
    <cellStyle name="Normal 166 2 3 2" xfId="14019" xr:uid="{00000000-0005-0000-0000-0000C3360000}"/>
    <cellStyle name="Normal 166 2 3 2 2" xfId="14020" xr:uid="{00000000-0005-0000-0000-0000C4360000}"/>
    <cellStyle name="Normal 166 2 3 3" xfId="14021" xr:uid="{00000000-0005-0000-0000-0000C5360000}"/>
    <cellStyle name="Normal 166 2 4" xfId="14022" xr:uid="{00000000-0005-0000-0000-0000C6360000}"/>
    <cellStyle name="Normal 166 2 4 2" xfId="14023" xr:uid="{00000000-0005-0000-0000-0000C7360000}"/>
    <cellStyle name="Normal 166 2 4 2 2" xfId="14024" xr:uid="{00000000-0005-0000-0000-0000C8360000}"/>
    <cellStyle name="Normal 166 2 4 3" xfId="14025" xr:uid="{00000000-0005-0000-0000-0000C9360000}"/>
    <cellStyle name="Normal 166 2 5" xfId="14026" xr:uid="{00000000-0005-0000-0000-0000CA360000}"/>
    <cellStyle name="Normal 166 3" xfId="14027" xr:uid="{00000000-0005-0000-0000-0000CB360000}"/>
    <cellStyle name="Normal 166 3 2" xfId="14028" xr:uid="{00000000-0005-0000-0000-0000CC360000}"/>
    <cellStyle name="Normal 166 3 2 2" xfId="14029" xr:uid="{00000000-0005-0000-0000-0000CD360000}"/>
    <cellStyle name="Normal 166 3 2 2 2" xfId="14030" xr:uid="{00000000-0005-0000-0000-0000CE360000}"/>
    <cellStyle name="Normal 166 3 2 3" xfId="14031" xr:uid="{00000000-0005-0000-0000-0000CF360000}"/>
    <cellStyle name="Normal 166 3 2 3 2" xfId="14032" xr:uid="{00000000-0005-0000-0000-0000D0360000}"/>
    <cellStyle name="Normal 166 3 2 3 2 2" xfId="14033" xr:uid="{00000000-0005-0000-0000-0000D1360000}"/>
    <cellStyle name="Normal 166 3 2 3 3" xfId="14034" xr:uid="{00000000-0005-0000-0000-0000D2360000}"/>
    <cellStyle name="Normal 166 3 2 4" xfId="14035" xr:uid="{00000000-0005-0000-0000-0000D3360000}"/>
    <cellStyle name="Normal 166 3 3" xfId="14036" xr:uid="{00000000-0005-0000-0000-0000D4360000}"/>
    <cellStyle name="Normal 166 3 3 2" xfId="14037" xr:uid="{00000000-0005-0000-0000-0000D5360000}"/>
    <cellStyle name="Normal 166 3 3 2 2" xfId="14038" xr:uid="{00000000-0005-0000-0000-0000D6360000}"/>
    <cellStyle name="Normal 166 3 3 3" xfId="14039" xr:uid="{00000000-0005-0000-0000-0000D7360000}"/>
    <cellStyle name="Normal 166 3 4" xfId="14040" xr:uid="{00000000-0005-0000-0000-0000D8360000}"/>
    <cellStyle name="Normal 166 3 4 2" xfId="14041" xr:uid="{00000000-0005-0000-0000-0000D9360000}"/>
    <cellStyle name="Normal 166 3 4 2 2" xfId="14042" xr:uid="{00000000-0005-0000-0000-0000DA360000}"/>
    <cellStyle name="Normal 166 3 4 3" xfId="14043" xr:uid="{00000000-0005-0000-0000-0000DB360000}"/>
    <cellStyle name="Normal 166 3 5" xfId="14044" xr:uid="{00000000-0005-0000-0000-0000DC360000}"/>
    <cellStyle name="Normal 166 3 5 2" xfId="14045" xr:uid="{00000000-0005-0000-0000-0000DD360000}"/>
    <cellStyle name="Normal 166 3 5 2 2" xfId="14046" xr:uid="{00000000-0005-0000-0000-0000DE360000}"/>
    <cellStyle name="Normal 166 3 5 3" xfId="14047" xr:uid="{00000000-0005-0000-0000-0000DF360000}"/>
    <cellStyle name="Normal 166 3 6" xfId="14048" xr:uid="{00000000-0005-0000-0000-0000E0360000}"/>
    <cellStyle name="Normal 166 4" xfId="14049" xr:uid="{00000000-0005-0000-0000-0000E1360000}"/>
    <cellStyle name="Normal 166 4 2" xfId="14050" xr:uid="{00000000-0005-0000-0000-0000E2360000}"/>
    <cellStyle name="Normal 166 4 2 2" xfId="14051" xr:uid="{00000000-0005-0000-0000-0000E3360000}"/>
    <cellStyle name="Normal 166 4 3" xfId="14052" xr:uid="{00000000-0005-0000-0000-0000E4360000}"/>
    <cellStyle name="Normal 166 5" xfId="14053" xr:uid="{00000000-0005-0000-0000-0000E5360000}"/>
    <cellStyle name="Normal 166 5 2" xfId="14054" xr:uid="{00000000-0005-0000-0000-0000E6360000}"/>
    <cellStyle name="Normal 166 5 2 2" xfId="14055" xr:uid="{00000000-0005-0000-0000-0000E7360000}"/>
    <cellStyle name="Normal 166 5 3" xfId="14056" xr:uid="{00000000-0005-0000-0000-0000E8360000}"/>
    <cellStyle name="Normal 166 6" xfId="14057" xr:uid="{00000000-0005-0000-0000-0000E9360000}"/>
    <cellStyle name="Normal 166 6 2" xfId="14058" xr:uid="{00000000-0005-0000-0000-0000EA360000}"/>
    <cellStyle name="Normal 166 6 2 2" xfId="14059" xr:uid="{00000000-0005-0000-0000-0000EB360000}"/>
    <cellStyle name="Normal 166 6 3" xfId="14060" xr:uid="{00000000-0005-0000-0000-0000EC360000}"/>
    <cellStyle name="Normal 166 7" xfId="14061" xr:uid="{00000000-0005-0000-0000-0000ED360000}"/>
    <cellStyle name="Normal 167" xfId="14062" xr:uid="{00000000-0005-0000-0000-0000EE360000}"/>
    <cellStyle name="Normal 167 2" xfId="14063" xr:uid="{00000000-0005-0000-0000-0000EF360000}"/>
    <cellStyle name="Normal 167 2 2" xfId="14064" xr:uid="{00000000-0005-0000-0000-0000F0360000}"/>
    <cellStyle name="Normal 167 2 2 2" xfId="14065" xr:uid="{00000000-0005-0000-0000-0000F1360000}"/>
    <cellStyle name="Normal 167 2 3" xfId="14066" xr:uid="{00000000-0005-0000-0000-0000F2360000}"/>
    <cellStyle name="Normal 167 2 3 2" xfId="14067" xr:uid="{00000000-0005-0000-0000-0000F3360000}"/>
    <cellStyle name="Normal 167 2 3 2 2" xfId="14068" xr:uid="{00000000-0005-0000-0000-0000F4360000}"/>
    <cellStyle name="Normal 167 2 3 3" xfId="14069" xr:uid="{00000000-0005-0000-0000-0000F5360000}"/>
    <cellStyle name="Normal 167 2 4" xfId="14070" xr:uid="{00000000-0005-0000-0000-0000F6360000}"/>
    <cellStyle name="Normal 167 2 4 2" xfId="14071" xr:uid="{00000000-0005-0000-0000-0000F7360000}"/>
    <cellStyle name="Normal 167 2 4 2 2" xfId="14072" xr:uid="{00000000-0005-0000-0000-0000F8360000}"/>
    <cellStyle name="Normal 167 2 4 3" xfId="14073" xr:uid="{00000000-0005-0000-0000-0000F9360000}"/>
    <cellStyle name="Normal 167 2 5" xfId="14074" xr:uid="{00000000-0005-0000-0000-0000FA360000}"/>
    <cellStyle name="Normal 167 3" xfId="14075" xr:uid="{00000000-0005-0000-0000-0000FB360000}"/>
    <cellStyle name="Normal 167 3 2" xfId="14076" xr:uid="{00000000-0005-0000-0000-0000FC360000}"/>
    <cellStyle name="Normal 167 3 2 2" xfId="14077" xr:uid="{00000000-0005-0000-0000-0000FD360000}"/>
    <cellStyle name="Normal 167 3 2 2 2" xfId="14078" xr:uid="{00000000-0005-0000-0000-0000FE360000}"/>
    <cellStyle name="Normal 167 3 2 3" xfId="14079" xr:uid="{00000000-0005-0000-0000-0000FF360000}"/>
    <cellStyle name="Normal 167 3 2 3 2" xfId="14080" xr:uid="{00000000-0005-0000-0000-000000370000}"/>
    <cellStyle name="Normal 167 3 2 3 2 2" xfId="14081" xr:uid="{00000000-0005-0000-0000-000001370000}"/>
    <cellStyle name="Normal 167 3 2 3 3" xfId="14082" xr:uid="{00000000-0005-0000-0000-000002370000}"/>
    <cellStyle name="Normal 167 3 2 4" xfId="14083" xr:uid="{00000000-0005-0000-0000-000003370000}"/>
    <cellStyle name="Normal 167 3 3" xfId="14084" xr:uid="{00000000-0005-0000-0000-000004370000}"/>
    <cellStyle name="Normal 167 3 3 2" xfId="14085" xr:uid="{00000000-0005-0000-0000-000005370000}"/>
    <cellStyle name="Normal 167 3 3 2 2" xfId="14086" xr:uid="{00000000-0005-0000-0000-000006370000}"/>
    <cellStyle name="Normal 167 3 3 3" xfId="14087" xr:uid="{00000000-0005-0000-0000-000007370000}"/>
    <cellStyle name="Normal 167 3 4" xfId="14088" xr:uid="{00000000-0005-0000-0000-000008370000}"/>
    <cellStyle name="Normal 167 3 4 2" xfId="14089" xr:uid="{00000000-0005-0000-0000-000009370000}"/>
    <cellStyle name="Normal 167 3 4 2 2" xfId="14090" xr:uid="{00000000-0005-0000-0000-00000A370000}"/>
    <cellStyle name="Normal 167 3 4 3" xfId="14091" xr:uid="{00000000-0005-0000-0000-00000B370000}"/>
    <cellStyle name="Normal 167 3 5" xfId="14092" xr:uid="{00000000-0005-0000-0000-00000C370000}"/>
    <cellStyle name="Normal 167 3 5 2" xfId="14093" xr:uid="{00000000-0005-0000-0000-00000D370000}"/>
    <cellStyle name="Normal 167 3 5 2 2" xfId="14094" xr:uid="{00000000-0005-0000-0000-00000E370000}"/>
    <cellStyle name="Normal 167 3 5 3" xfId="14095" xr:uid="{00000000-0005-0000-0000-00000F370000}"/>
    <cellStyle name="Normal 167 3 6" xfId="14096" xr:uid="{00000000-0005-0000-0000-000010370000}"/>
    <cellStyle name="Normal 167 4" xfId="14097" xr:uid="{00000000-0005-0000-0000-000011370000}"/>
    <cellStyle name="Normal 167 4 2" xfId="14098" xr:uid="{00000000-0005-0000-0000-000012370000}"/>
    <cellStyle name="Normal 167 4 2 2" xfId="14099" xr:uid="{00000000-0005-0000-0000-000013370000}"/>
    <cellStyle name="Normal 167 4 3" xfId="14100" xr:uid="{00000000-0005-0000-0000-000014370000}"/>
    <cellStyle name="Normal 167 5" xfId="14101" xr:uid="{00000000-0005-0000-0000-000015370000}"/>
    <cellStyle name="Normal 167 5 2" xfId="14102" xr:uid="{00000000-0005-0000-0000-000016370000}"/>
    <cellStyle name="Normal 167 5 2 2" xfId="14103" xr:uid="{00000000-0005-0000-0000-000017370000}"/>
    <cellStyle name="Normal 167 5 3" xfId="14104" xr:uid="{00000000-0005-0000-0000-000018370000}"/>
    <cellStyle name="Normal 167 6" xfId="14105" xr:uid="{00000000-0005-0000-0000-000019370000}"/>
    <cellStyle name="Normal 167 6 2" xfId="14106" xr:uid="{00000000-0005-0000-0000-00001A370000}"/>
    <cellStyle name="Normal 167 6 2 2" xfId="14107" xr:uid="{00000000-0005-0000-0000-00001B370000}"/>
    <cellStyle name="Normal 167 6 3" xfId="14108" xr:uid="{00000000-0005-0000-0000-00001C370000}"/>
    <cellStyle name="Normal 167 7" xfId="14109" xr:uid="{00000000-0005-0000-0000-00001D370000}"/>
    <cellStyle name="Normal 168" xfId="14110" xr:uid="{00000000-0005-0000-0000-00001E370000}"/>
    <cellStyle name="Normal 168 2" xfId="14111" xr:uid="{00000000-0005-0000-0000-00001F370000}"/>
    <cellStyle name="Normal 168 2 2" xfId="14112" xr:uid="{00000000-0005-0000-0000-000020370000}"/>
    <cellStyle name="Normal 168 2 2 2" xfId="14113" xr:uid="{00000000-0005-0000-0000-000021370000}"/>
    <cellStyle name="Normal 168 2 3" xfId="14114" xr:uid="{00000000-0005-0000-0000-000022370000}"/>
    <cellStyle name="Normal 168 2 3 2" xfId="14115" xr:uid="{00000000-0005-0000-0000-000023370000}"/>
    <cellStyle name="Normal 168 2 3 2 2" xfId="14116" xr:uid="{00000000-0005-0000-0000-000024370000}"/>
    <cellStyle name="Normal 168 2 3 3" xfId="14117" xr:uid="{00000000-0005-0000-0000-000025370000}"/>
    <cellStyle name="Normal 168 2 4" xfId="14118" xr:uid="{00000000-0005-0000-0000-000026370000}"/>
    <cellStyle name="Normal 168 2 4 2" xfId="14119" xr:uid="{00000000-0005-0000-0000-000027370000}"/>
    <cellStyle name="Normal 168 2 4 2 2" xfId="14120" xr:uid="{00000000-0005-0000-0000-000028370000}"/>
    <cellStyle name="Normal 168 2 4 3" xfId="14121" xr:uid="{00000000-0005-0000-0000-000029370000}"/>
    <cellStyle name="Normal 168 2 5" xfId="14122" xr:uid="{00000000-0005-0000-0000-00002A370000}"/>
    <cellStyle name="Normal 168 3" xfId="14123" xr:uid="{00000000-0005-0000-0000-00002B370000}"/>
    <cellStyle name="Normal 168 3 2" xfId="14124" xr:uid="{00000000-0005-0000-0000-00002C370000}"/>
    <cellStyle name="Normal 168 3 2 2" xfId="14125" xr:uid="{00000000-0005-0000-0000-00002D370000}"/>
    <cellStyle name="Normal 168 3 2 2 2" xfId="14126" xr:uid="{00000000-0005-0000-0000-00002E370000}"/>
    <cellStyle name="Normal 168 3 2 3" xfId="14127" xr:uid="{00000000-0005-0000-0000-00002F370000}"/>
    <cellStyle name="Normal 168 3 2 3 2" xfId="14128" xr:uid="{00000000-0005-0000-0000-000030370000}"/>
    <cellStyle name="Normal 168 3 2 3 2 2" xfId="14129" xr:uid="{00000000-0005-0000-0000-000031370000}"/>
    <cellStyle name="Normal 168 3 2 3 3" xfId="14130" xr:uid="{00000000-0005-0000-0000-000032370000}"/>
    <cellStyle name="Normal 168 3 2 4" xfId="14131" xr:uid="{00000000-0005-0000-0000-000033370000}"/>
    <cellStyle name="Normal 168 3 3" xfId="14132" xr:uid="{00000000-0005-0000-0000-000034370000}"/>
    <cellStyle name="Normal 168 3 3 2" xfId="14133" xr:uid="{00000000-0005-0000-0000-000035370000}"/>
    <cellStyle name="Normal 168 3 3 2 2" xfId="14134" xr:uid="{00000000-0005-0000-0000-000036370000}"/>
    <cellStyle name="Normal 168 3 3 3" xfId="14135" xr:uid="{00000000-0005-0000-0000-000037370000}"/>
    <cellStyle name="Normal 168 3 4" xfId="14136" xr:uid="{00000000-0005-0000-0000-000038370000}"/>
    <cellStyle name="Normal 168 3 4 2" xfId="14137" xr:uid="{00000000-0005-0000-0000-000039370000}"/>
    <cellStyle name="Normal 168 3 4 2 2" xfId="14138" xr:uid="{00000000-0005-0000-0000-00003A370000}"/>
    <cellStyle name="Normal 168 3 4 3" xfId="14139" xr:uid="{00000000-0005-0000-0000-00003B370000}"/>
    <cellStyle name="Normal 168 3 5" xfId="14140" xr:uid="{00000000-0005-0000-0000-00003C370000}"/>
    <cellStyle name="Normal 168 3 5 2" xfId="14141" xr:uid="{00000000-0005-0000-0000-00003D370000}"/>
    <cellStyle name="Normal 168 3 5 2 2" xfId="14142" xr:uid="{00000000-0005-0000-0000-00003E370000}"/>
    <cellStyle name="Normal 168 3 5 3" xfId="14143" xr:uid="{00000000-0005-0000-0000-00003F370000}"/>
    <cellStyle name="Normal 168 3 6" xfId="14144" xr:uid="{00000000-0005-0000-0000-000040370000}"/>
    <cellStyle name="Normal 168 4" xfId="14145" xr:uid="{00000000-0005-0000-0000-000041370000}"/>
    <cellStyle name="Normal 168 4 2" xfId="14146" xr:uid="{00000000-0005-0000-0000-000042370000}"/>
    <cellStyle name="Normal 168 4 2 2" xfId="14147" xr:uid="{00000000-0005-0000-0000-000043370000}"/>
    <cellStyle name="Normal 168 4 3" xfId="14148" xr:uid="{00000000-0005-0000-0000-000044370000}"/>
    <cellStyle name="Normal 168 5" xfId="14149" xr:uid="{00000000-0005-0000-0000-000045370000}"/>
    <cellStyle name="Normal 168 5 2" xfId="14150" xr:uid="{00000000-0005-0000-0000-000046370000}"/>
    <cellStyle name="Normal 168 5 2 2" xfId="14151" xr:uid="{00000000-0005-0000-0000-000047370000}"/>
    <cellStyle name="Normal 168 5 3" xfId="14152" xr:uid="{00000000-0005-0000-0000-000048370000}"/>
    <cellStyle name="Normal 168 6" xfId="14153" xr:uid="{00000000-0005-0000-0000-000049370000}"/>
    <cellStyle name="Normal 168 6 2" xfId="14154" xr:uid="{00000000-0005-0000-0000-00004A370000}"/>
    <cellStyle name="Normal 168 6 2 2" xfId="14155" xr:uid="{00000000-0005-0000-0000-00004B370000}"/>
    <cellStyle name="Normal 168 6 3" xfId="14156" xr:uid="{00000000-0005-0000-0000-00004C370000}"/>
    <cellStyle name="Normal 168 7" xfId="14157" xr:uid="{00000000-0005-0000-0000-00004D370000}"/>
    <cellStyle name="Normal 169" xfId="14158" xr:uid="{00000000-0005-0000-0000-00004E370000}"/>
    <cellStyle name="Normal 169 2" xfId="14159" xr:uid="{00000000-0005-0000-0000-00004F370000}"/>
    <cellStyle name="Normal 169 2 2" xfId="14160" xr:uid="{00000000-0005-0000-0000-000050370000}"/>
    <cellStyle name="Normal 169 2 2 2" xfId="14161" xr:uid="{00000000-0005-0000-0000-000051370000}"/>
    <cellStyle name="Normal 169 2 3" xfId="14162" xr:uid="{00000000-0005-0000-0000-000052370000}"/>
    <cellStyle name="Normal 169 2 3 2" xfId="14163" xr:uid="{00000000-0005-0000-0000-000053370000}"/>
    <cellStyle name="Normal 169 2 3 2 2" xfId="14164" xr:uid="{00000000-0005-0000-0000-000054370000}"/>
    <cellStyle name="Normal 169 2 3 3" xfId="14165" xr:uid="{00000000-0005-0000-0000-000055370000}"/>
    <cellStyle name="Normal 169 2 4" xfId="14166" xr:uid="{00000000-0005-0000-0000-000056370000}"/>
    <cellStyle name="Normal 169 2 4 2" xfId="14167" xr:uid="{00000000-0005-0000-0000-000057370000}"/>
    <cellStyle name="Normal 169 2 4 2 2" xfId="14168" xr:uid="{00000000-0005-0000-0000-000058370000}"/>
    <cellStyle name="Normal 169 2 4 3" xfId="14169" xr:uid="{00000000-0005-0000-0000-000059370000}"/>
    <cellStyle name="Normal 169 2 5" xfId="14170" xr:uid="{00000000-0005-0000-0000-00005A370000}"/>
    <cellStyle name="Normal 169 3" xfId="14171" xr:uid="{00000000-0005-0000-0000-00005B370000}"/>
    <cellStyle name="Normal 169 3 2" xfId="14172" xr:uid="{00000000-0005-0000-0000-00005C370000}"/>
    <cellStyle name="Normal 169 3 2 2" xfId="14173" xr:uid="{00000000-0005-0000-0000-00005D370000}"/>
    <cellStyle name="Normal 169 3 2 2 2" xfId="14174" xr:uid="{00000000-0005-0000-0000-00005E370000}"/>
    <cellStyle name="Normal 169 3 2 3" xfId="14175" xr:uid="{00000000-0005-0000-0000-00005F370000}"/>
    <cellStyle name="Normal 169 3 2 3 2" xfId="14176" xr:uid="{00000000-0005-0000-0000-000060370000}"/>
    <cellStyle name="Normal 169 3 2 3 2 2" xfId="14177" xr:uid="{00000000-0005-0000-0000-000061370000}"/>
    <cellStyle name="Normal 169 3 2 3 3" xfId="14178" xr:uid="{00000000-0005-0000-0000-000062370000}"/>
    <cellStyle name="Normal 169 3 2 4" xfId="14179" xr:uid="{00000000-0005-0000-0000-000063370000}"/>
    <cellStyle name="Normal 169 3 3" xfId="14180" xr:uid="{00000000-0005-0000-0000-000064370000}"/>
    <cellStyle name="Normal 169 3 3 2" xfId="14181" xr:uid="{00000000-0005-0000-0000-000065370000}"/>
    <cellStyle name="Normal 169 3 3 2 2" xfId="14182" xr:uid="{00000000-0005-0000-0000-000066370000}"/>
    <cellStyle name="Normal 169 3 3 3" xfId="14183" xr:uid="{00000000-0005-0000-0000-000067370000}"/>
    <cellStyle name="Normal 169 3 4" xfId="14184" xr:uid="{00000000-0005-0000-0000-000068370000}"/>
    <cellStyle name="Normal 169 3 4 2" xfId="14185" xr:uid="{00000000-0005-0000-0000-000069370000}"/>
    <cellStyle name="Normal 169 3 4 2 2" xfId="14186" xr:uid="{00000000-0005-0000-0000-00006A370000}"/>
    <cellStyle name="Normal 169 3 4 3" xfId="14187" xr:uid="{00000000-0005-0000-0000-00006B370000}"/>
    <cellStyle name="Normal 169 3 5" xfId="14188" xr:uid="{00000000-0005-0000-0000-00006C370000}"/>
    <cellStyle name="Normal 169 3 5 2" xfId="14189" xr:uid="{00000000-0005-0000-0000-00006D370000}"/>
    <cellStyle name="Normal 169 3 5 2 2" xfId="14190" xr:uid="{00000000-0005-0000-0000-00006E370000}"/>
    <cellStyle name="Normal 169 3 5 3" xfId="14191" xr:uid="{00000000-0005-0000-0000-00006F370000}"/>
    <cellStyle name="Normal 169 3 6" xfId="14192" xr:uid="{00000000-0005-0000-0000-000070370000}"/>
    <cellStyle name="Normal 169 4" xfId="14193" xr:uid="{00000000-0005-0000-0000-000071370000}"/>
    <cellStyle name="Normal 169 4 2" xfId="14194" xr:uid="{00000000-0005-0000-0000-000072370000}"/>
    <cellStyle name="Normal 169 4 2 2" xfId="14195" xr:uid="{00000000-0005-0000-0000-000073370000}"/>
    <cellStyle name="Normal 169 4 3" xfId="14196" xr:uid="{00000000-0005-0000-0000-000074370000}"/>
    <cellStyle name="Normal 169 5" xfId="14197" xr:uid="{00000000-0005-0000-0000-000075370000}"/>
    <cellStyle name="Normal 169 5 2" xfId="14198" xr:uid="{00000000-0005-0000-0000-000076370000}"/>
    <cellStyle name="Normal 169 5 2 2" xfId="14199" xr:uid="{00000000-0005-0000-0000-000077370000}"/>
    <cellStyle name="Normal 169 5 3" xfId="14200" xr:uid="{00000000-0005-0000-0000-000078370000}"/>
    <cellStyle name="Normal 169 6" xfId="14201" xr:uid="{00000000-0005-0000-0000-000079370000}"/>
    <cellStyle name="Normal 169 6 2" xfId="14202" xr:uid="{00000000-0005-0000-0000-00007A370000}"/>
    <cellStyle name="Normal 169 6 2 2" xfId="14203" xr:uid="{00000000-0005-0000-0000-00007B370000}"/>
    <cellStyle name="Normal 169 6 3" xfId="14204" xr:uid="{00000000-0005-0000-0000-00007C370000}"/>
    <cellStyle name="Normal 169 7" xfId="14205" xr:uid="{00000000-0005-0000-0000-00007D370000}"/>
    <cellStyle name="Normal 17" xfId="64" xr:uid="{00000000-0005-0000-0000-000040000000}"/>
    <cellStyle name="Normal 17 2" xfId="14206" xr:uid="{00000000-0005-0000-0000-00007E370000}"/>
    <cellStyle name="Normal 17 2 2" xfId="14207" xr:uid="{00000000-0005-0000-0000-00007F370000}"/>
    <cellStyle name="Normal 17 2 2 2" xfId="14208" xr:uid="{00000000-0005-0000-0000-000080370000}"/>
    <cellStyle name="Normal 17 2 2 2 2" xfId="14209" xr:uid="{00000000-0005-0000-0000-000081370000}"/>
    <cellStyle name="Normal 17 2 2 3" xfId="14210" xr:uid="{00000000-0005-0000-0000-000082370000}"/>
    <cellStyle name="Normal 17 2 2 3 2" xfId="14211" xr:uid="{00000000-0005-0000-0000-000083370000}"/>
    <cellStyle name="Normal 17 2 2 3 2 2" xfId="14212" xr:uid="{00000000-0005-0000-0000-000084370000}"/>
    <cellStyle name="Normal 17 2 2 3 3" xfId="14213" xr:uid="{00000000-0005-0000-0000-000085370000}"/>
    <cellStyle name="Normal 17 2 2 4" xfId="14214" xr:uid="{00000000-0005-0000-0000-000086370000}"/>
    <cellStyle name="Normal 17 2 2 4 2" xfId="14215" xr:uid="{00000000-0005-0000-0000-000087370000}"/>
    <cellStyle name="Normal 17 2 2 4 2 2" xfId="14216" xr:uid="{00000000-0005-0000-0000-000088370000}"/>
    <cellStyle name="Normal 17 2 2 4 3" xfId="14217" xr:uid="{00000000-0005-0000-0000-000089370000}"/>
    <cellStyle name="Normal 17 2 2 5" xfId="14218" xr:uid="{00000000-0005-0000-0000-00008A370000}"/>
    <cellStyle name="Normal 17 2 3" xfId="14219" xr:uid="{00000000-0005-0000-0000-00008B370000}"/>
    <cellStyle name="Normal 17 2 3 2" xfId="14220" xr:uid="{00000000-0005-0000-0000-00008C370000}"/>
    <cellStyle name="Normal 17 2 3 2 2" xfId="14221" xr:uid="{00000000-0005-0000-0000-00008D370000}"/>
    <cellStyle name="Normal 17 2 3 2 2 2" xfId="14222" xr:uid="{00000000-0005-0000-0000-00008E370000}"/>
    <cellStyle name="Normal 17 2 3 2 3" xfId="14223" xr:uid="{00000000-0005-0000-0000-00008F370000}"/>
    <cellStyle name="Normal 17 2 3 2 3 2" xfId="14224" xr:uid="{00000000-0005-0000-0000-000090370000}"/>
    <cellStyle name="Normal 17 2 3 2 3 2 2" xfId="14225" xr:uid="{00000000-0005-0000-0000-000091370000}"/>
    <cellStyle name="Normal 17 2 3 2 3 3" xfId="14226" xr:uid="{00000000-0005-0000-0000-000092370000}"/>
    <cellStyle name="Normal 17 2 3 2 4" xfId="14227" xr:uid="{00000000-0005-0000-0000-000093370000}"/>
    <cellStyle name="Normal 17 2 3 3" xfId="14228" xr:uid="{00000000-0005-0000-0000-000094370000}"/>
    <cellStyle name="Normal 17 2 3 3 2" xfId="14229" xr:uid="{00000000-0005-0000-0000-000095370000}"/>
    <cellStyle name="Normal 17 2 3 3 2 2" xfId="14230" xr:uid="{00000000-0005-0000-0000-000096370000}"/>
    <cellStyle name="Normal 17 2 3 3 3" xfId="14231" xr:uid="{00000000-0005-0000-0000-000097370000}"/>
    <cellStyle name="Normal 17 2 3 4" xfId="14232" xr:uid="{00000000-0005-0000-0000-000098370000}"/>
    <cellStyle name="Normal 17 2 3 4 2" xfId="14233" xr:uid="{00000000-0005-0000-0000-000099370000}"/>
    <cellStyle name="Normal 17 2 3 4 2 2" xfId="14234" xr:uid="{00000000-0005-0000-0000-00009A370000}"/>
    <cellStyle name="Normal 17 2 3 4 3" xfId="14235" xr:uid="{00000000-0005-0000-0000-00009B370000}"/>
    <cellStyle name="Normal 17 2 3 5" xfId="14236" xr:uid="{00000000-0005-0000-0000-00009C370000}"/>
    <cellStyle name="Normal 17 2 3 5 2" xfId="14237" xr:uid="{00000000-0005-0000-0000-00009D370000}"/>
    <cellStyle name="Normal 17 2 3 5 2 2" xfId="14238" xr:uid="{00000000-0005-0000-0000-00009E370000}"/>
    <cellStyle name="Normal 17 2 3 5 3" xfId="14239" xr:uid="{00000000-0005-0000-0000-00009F370000}"/>
    <cellStyle name="Normal 17 2 3 6" xfId="14240" xr:uid="{00000000-0005-0000-0000-0000A0370000}"/>
    <cellStyle name="Normal 17 2 4" xfId="14241" xr:uid="{00000000-0005-0000-0000-0000A1370000}"/>
    <cellStyle name="Normal 17 3" xfId="14242" xr:uid="{00000000-0005-0000-0000-0000A2370000}"/>
    <cellStyle name="Normal 17 3 2" xfId="14243" xr:uid="{00000000-0005-0000-0000-0000A3370000}"/>
    <cellStyle name="Normal 17 3 2 2" xfId="14244" xr:uid="{00000000-0005-0000-0000-0000A4370000}"/>
    <cellStyle name="Normal 17 3 2 2 2" xfId="14245" xr:uid="{00000000-0005-0000-0000-0000A5370000}"/>
    <cellStyle name="Normal 17 3 2 3" xfId="14246" xr:uid="{00000000-0005-0000-0000-0000A6370000}"/>
    <cellStyle name="Normal 17 3 2 3 2" xfId="14247" xr:uid="{00000000-0005-0000-0000-0000A7370000}"/>
    <cellStyle name="Normal 17 3 2 3 2 2" xfId="14248" xr:uid="{00000000-0005-0000-0000-0000A8370000}"/>
    <cellStyle name="Normal 17 3 2 3 3" xfId="14249" xr:uid="{00000000-0005-0000-0000-0000A9370000}"/>
    <cellStyle name="Normal 17 3 2 4" xfId="14250" xr:uid="{00000000-0005-0000-0000-0000AA370000}"/>
    <cellStyle name="Normal 17 3 2 4 2" xfId="14251" xr:uid="{00000000-0005-0000-0000-0000AB370000}"/>
    <cellStyle name="Normal 17 3 2 4 2 2" xfId="14252" xr:uid="{00000000-0005-0000-0000-0000AC370000}"/>
    <cellStyle name="Normal 17 3 2 4 3" xfId="14253" xr:uid="{00000000-0005-0000-0000-0000AD370000}"/>
    <cellStyle name="Normal 17 3 2 5" xfId="14254" xr:uid="{00000000-0005-0000-0000-0000AE370000}"/>
    <cellStyle name="Normal 17 3 3" xfId="14255" xr:uid="{00000000-0005-0000-0000-0000AF370000}"/>
    <cellStyle name="Normal 17 3 3 2" xfId="14256" xr:uid="{00000000-0005-0000-0000-0000B0370000}"/>
    <cellStyle name="Normal 17 3 3 2 2" xfId="14257" xr:uid="{00000000-0005-0000-0000-0000B1370000}"/>
    <cellStyle name="Normal 17 3 3 3" xfId="14258" xr:uid="{00000000-0005-0000-0000-0000B2370000}"/>
    <cellStyle name="Normal 17 3 4" xfId="14259" xr:uid="{00000000-0005-0000-0000-0000B3370000}"/>
    <cellStyle name="Normal 17 3 4 2" xfId="14260" xr:uid="{00000000-0005-0000-0000-0000B4370000}"/>
    <cellStyle name="Normal 17 3 4 2 2" xfId="14261" xr:uid="{00000000-0005-0000-0000-0000B5370000}"/>
    <cellStyle name="Normal 17 3 4 3" xfId="14262" xr:uid="{00000000-0005-0000-0000-0000B6370000}"/>
    <cellStyle name="Normal 17 3 5" xfId="14263" xr:uid="{00000000-0005-0000-0000-0000B7370000}"/>
    <cellStyle name="Normal 17 3 5 2" xfId="14264" xr:uid="{00000000-0005-0000-0000-0000B8370000}"/>
    <cellStyle name="Normal 17 3 5 2 2" xfId="14265" xr:uid="{00000000-0005-0000-0000-0000B9370000}"/>
    <cellStyle name="Normal 17 3 5 3" xfId="14266" xr:uid="{00000000-0005-0000-0000-0000BA370000}"/>
    <cellStyle name="Normal 17 3 6" xfId="14267" xr:uid="{00000000-0005-0000-0000-0000BB370000}"/>
    <cellStyle name="Normal 17 4" xfId="14268" xr:uid="{00000000-0005-0000-0000-0000BC370000}"/>
    <cellStyle name="Normal 17 4 2" xfId="14269" xr:uid="{00000000-0005-0000-0000-0000BD370000}"/>
    <cellStyle name="Normal 17 4 2 2" xfId="14270" xr:uid="{00000000-0005-0000-0000-0000BE370000}"/>
    <cellStyle name="Normal 17 4 3" xfId="14271" xr:uid="{00000000-0005-0000-0000-0000BF370000}"/>
    <cellStyle name="Normal 17 4 3 2" xfId="14272" xr:uid="{00000000-0005-0000-0000-0000C0370000}"/>
    <cellStyle name="Normal 17 4 3 2 2" xfId="14273" xr:uid="{00000000-0005-0000-0000-0000C1370000}"/>
    <cellStyle name="Normal 17 4 3 3" xfId="14274" xr:uid="{00000000-0005-0000-0000-0000C2370000}"/>
    <cellStyle name="Normal 17 4 4" xfId="14275" xr:uid="{00000000-0005-0000-0000-0000C3370000}"/>
    <cellStyle name="Normal 17 4 4 2" xfId="14276" xr:uid="{00000000-0005-0000-0000-0000C4370000}"/>
    <cellStyle name="Normal 17 4 4 2 2" xfId="14277" xr:uid="{00000000-0005-0000-0000-0000C5370000}"/>
    <cellStyle name="Normal 17 4 4 3" xfId="14278" xr:uid="{00000000-0005-0000-0000-0000C6370000}"/>
    <cellStyle name="Normal 17 4 5" xfId="14279" xr:uid="{00000000-0005-0000-0000-0000C7370000}"/>
    <cellStyle name="Normal 17 5" xfId="14280" xr:uid="{00000000-0005-0000-0000-0000C8370000}"/>
    <cellStyle name="Normal 17 5 2" xfId="14281" xr:uid="{00000000-0005-0000-0000-0000C9370000}"/>
    <cellStyle name="Normal 17 5 2 2" xfId="14282" xr:uid="{00000000-0005-0000-0000-0000CA370000}"/>
    <cellStyle name="Normal 17 5 2 2 2" xfId="14283" xr:uid="{00000000-0005-0000-0000-0000CB370000}"/>
    <cellStyle name="Normal 17 5 2 3" xfId="14284" xr:uid="{00000000-0005-0000-0000-0000CC370000}"/>
    <cellStyle name="Normal 17 5 2 3 2" xfId="14285" xr:uid="{00000000-0005-0000-0000-0000CD370000}"/>
    <cellStyle name="Normal 17 5 2 3 2 2" xfId="14286" xr:uid="{00000000-0005-0000-0000-0000CE370000}"/>
    <cellStyle name="Normal 17 5 2 3 3" xfId="14287" xr:uid="{00000000-0005-0000-0000-0000CF370000}"/>
    <cellStyle name="Normal 17 5 2 4" xfId="14288" xr:uid="{00000000-0005-0000-0000-0000D0370000}"/>
    <cellStyle name="Normal 17 5 3" xfId="14289" xr:uid="{00000000-0005-0000-0000-0000D1370000}"/>
    <cellStyle name="Normal 17 5 3 2" xfId="14290" xr:uid="{00000000-0005-0000-0000-0000D2370000}"/>
    <cellStyle name="Normal 17 5 3 2 2" xfId="14291" xr:uid="{00000000-0005-0000-0000-0000D3370000}"/>
    <cellStyle name="Normal 17 5 3 3" xfId="14292" xr:uid="{00000000-0005-0000-0000-0000D4370000}"/>
    <cellStyle name="Normal 17 5 4" xfId="14293" xr:uid="{00000000-0005-0000-0000-0000D5370000}"/>
    <cellStyle name="Normal 17 5 4 2" xfId="14294" xr:uid="{00000000-0005-0000-0000-0000D6370000}"/>
    <cellStyle name="Normal 17 5 4 2 2" xfId="14295" xr:uid="{00000000-0005-0000-0000-0000D7370000}"/>
    <cellStyle name="Normal 17 5 4 3" xfId="14296" xr:uid="{00000000-0005-0000-0000-0000D8370000}"/>
    <cellStyle name="Normal 17 5 5" xfId="14297" xr:uid="{00000000-0005-0000-0000-0000D9370000}"/>
    <cellStyle name="Normal 17 5 5 2" xfId="14298" xr:uid="{00000000-0005-0000-0000-0000DA370000}"/>
    <cellStyle name="Normal 17 5 5 2 2" xfId="14299" xr:uid="{00000000-0005-0000-0000-0000DB370000}"/>
    <cellStyle name="Normal 17 5 5 3" xfId="14300" xr:uid="{00000000-0005-0000-0000-0000DC370000}"/>
    <cellStyle name="Normal 17 5 6" xfId="14301" xr:uid="{00000000-0005-0000-0000-0000DD370000}"/>
    <cellStyle name="Normal 17 6" xfId="14302" xr:uid="{00000000-0005-0000-0000-0000DE370000}"/>
    <cellStyle name="Normal 17 7" xfId="14303" xr:uid="{00000000-0005-0000-0000-0000DF370000}"/>
    <cellStyle name="Normal 170" xfId="14304" xr:uid="{00000000-0005-0000-0000-0000E0370000}"/>
    <cellStyle name="Normal 170 2" xfId="14305" xr:uid="{00000000-0005-0000-0000-0000E1370000}"/>
    <cellStyle name="Normal 170 2 2" xfId="14306" xr:uid="{00000000-0005-0000-0000-0000E2370000}"/>
    <cellStyle name="Normal 170 2 2 2" xfId="14307" xr:uid="{00000000-0005-0000-0000-0000E3370000}"/>
    <cellStyle name="Normal 170 2 3" xfId="14308" xr:uid="{00000000-0005-0000-0000-0000E4370000}"/>
    <cellStyle name="Normal 170 2 3 2" xfId="14309" xr:uid="{00000000-0005-0000-0000-0000E5370000}"/>
    <cellStyle name="Normal 170 2 3 2 2" xfId="14310" xr:uid="{00000000-0005-0000-0000-0000E6370000}"/>
    <cellStyle name="Normal 170 2 3 3" xfId="14311" xr:uid="{00000000-0005-0000-0000-0000E7370000}"/>
    <cellStyle name="Normal 170 2 4" xfId="14312" xr:uid="{00000000-0005-0000-0000-0000E8370000}"/>
    <cellStyle name="Normal 170 2 4 2" xfId="14313" xr:uid="{00000000-0005-0000-0000-0000E9370000}"/>
    <cellStyle name="Normal 170 2 4 2 2" xfId="14314" xr:uid="{00000000-0005-0000-0000-0000EA370000}"/>
    <cellStyle name="Normal 170 2 4 3" xfId="14315" xr:uid="{00000000-0005-0000-0000-0000EB370000}"/>
    <cellStyle name="Normal 170 2 5" xfId="14316" xr:uid="{00000000-0005-0000-0000-0000EC370000}"/>
    <cellStyle name="Normal 170 3" xfId="14317" xr:uid="{00000000-0005-0000-0000-0000ED370000}"/>
    <cellStyle name="Normal 170 3 2" xfId="14318" xr:uid="{00000000-0005-0000-0000-0000EE370000}"/>
    <cellStyle name="Normal 170 3 2 2" xfId="14319" xr:uid="{00000000-0005-0000-0000-0000EF370000}"/>
    <cellStyle name="Normal 170 3 2 2 2" xfId="14320" xr:uid="{00000000-0005-0000-0000-0000F0370000}"/>
    <cellStyle name="Normal 170 3 2 3" xfId="14321" xr:uid="{00000000-0005-0000-0000-0000F1370000}"/>
    <cellStyle name="Normal 170 3 2 3 2" xfId="14322" xr:uid="{00000000-0005-0000-0000-0000F2370000}"/>
    <cellStyle name="Normal 170 3 2 3 2 2" xfId="14323" xr:uid="{00000000-0005-0000-0000-0000F3370000}"/>
    <cellStyle name="Normal 170 3 2 3 3" xfId="14324" xr:uid="{00000000-0005-0000-0000-0000F4370000}"/>
    <cellStyle name="Normal 170 3 2 4" xfId="14325" xr:uid="{00000000-0005-0000-0000-0000F5370000}"/>
    <cellStyle name="Normal 170 3 3" xfId="14326" xr:uid="{00000000-0005-0000-0000-0000F6370000}"/>
    <cellStyle name="Normal 170 3 3 2" xfId="14327" xr:uid="{00000000-0005-0000-0000-0000F7370000}"/>
    <cellStyle name="Normal 170 3 3 2 2" xfId="14328" xr:uid="{00000000-0005-0000-0000-0000F8370000}"/>
    <cellStyle name="Normal 170 3 3 3" xfId="14329" xr:uid="{00000000-0005-0000-0000-0000F9370000}"/>
    <cellStyle name="Normal 170 3 4" xfId="14330" xr:uid="{00000000-0005-0000-0000-0000FA370000}"/>
    <cellStyle name="Normal 170 3 4 2" xfId="14331" xr:uid="{00000000-0005-0000-0000-0000FB370000}"/>
    <cellStyle name="Normal 170 3 4 2 2" xfId="14332" xr:uid="{00000000-0005-0000-0000-0000FC370000}"/>
    <cellStyle name="Normal 170 3 4 3" xfId="14333" xr:uid="{00000000-0005-0000-0000-0000FD370000}"/>
    <cellStyle name="Normal 170 3 5" xfId="14334" xr:uid="{00000000-0005-0000-0000-0000FE370000}"/>
    <cellStyle name="Normal 170 3 5 2" xfId="14335" xr:uid="{00000000-0005-0000-0000-0000FF370000}"/>
    <cellStyle name="Normal 170 3 5 2 2" xfId="14336" xr:uid="{00000000-0005-0000-0000-000000380000}"/>
    <cellStyle name="Normal 170 3 5 3" xfId="14337" xr:uid="{00000000-0005-0000-0000-000001380000}"/>
    <cellStyle name="Normal 170 3 6" xfId="14338" xr:uid="{00000000-0005-0000-0000-000002380000}"/>
    <cellStyle name="Normal 170 4" xfId="14339" xr:uid="{00000000-0005-0000-0000-000003380000}"/>
    <cellStyle name="Normal 170 4 2" xfId="14340" xr:uid="{00000000-0005-0000-0000-000004380000}"/>
    <cellStyle name="Normal 170 4 2 2" xfId="14341" xr:uid="{00000000-0005-0000-0000-000005380000}"/>
    <cellStyle name="Normal 170 4 3" xfId="14342" xr:uid="{00000000-0005-0000-0000-000006380000}"/>
    <cellStyle name="Normal 170 5" xfId="14343" xr:uid="{00000000-0005-0000-0000-000007380000}"/>
    <cellStyle name="Normal 170 5 2" xfId="14344" xr:uid="{00000000-0005-0000-0000-000008380000}"/>
    <cellStyle name="Normal 170 5 2 2" xfId="14345" xr:uid="{00000000-0005-0000-0000-000009380000}"/>
    <cellStyle name="Normal 170 5 3" xfId="14346" xr:uid="{00000000-0005-0000-0000-00000A380000}"/>
    <cellStyle name="Normal 170 6" xfId="14347" xr:uid="{00000000-0005-0000-0000-00000B380000}"/>
    <cellStyle name="Normal 170 6 2" xfId="14348" xr:uid="{00000000-0005-0000-0000-00000C380000}"/>
    <cellStyle name="Normal 170 6 2 2" xfId="14349" xr:uid="{00000000-0005-0000-0000-00000D380000}"/>
    <cellStyle name="Normal 170 6 3" xfId="14350" xr:uid="{00000000-0005-0000-0000-00000E380000}"/>
    <cellStyle name="Normal 170 7" xfId="14351" xr:uid="{00000000-0005-0000-0000-00000F380000}"/>
    <cellStyle name="Normal 171" xfId="14352" xr:uid="{00000000-0005-0000-0000-000010380000}"/>
    <cellStyle name="Normal 171 2" xfId="14353" xr:uid="{00000000-0005-0000-0000-000011380000}"/>
    <cellStyle name="Normal 171 2 2" xfId="14354" xr:uid="{00000000-0005-0000-0000-000012380000}"/>
    <cellStyle name="Normal 171 2 2 2" xfId="14355" xr:uid="{00000000-0005-0000-0000-000013380000}"/>
    <cellStyle name="Normal 171 2 3" xfId="14356" xr:uid="{00000000-0005-0000-0000-000014380000}"/>
    <cellStyle name="Normal 171 2 3 2" xfId="14357" xr:uid="{00000000-0005-0000-0000-000015380000}"/>
    <cellStyle name="Normal 171 2 3 2 2" xfId="14358" xr:uid="{00000000-0005-0000-0000-000016380000}"/>
    <cellStyle name="Normal 171 2 3 3" xfId="14359" xr:uid="{00000000-0005-0000-0000-000017380000}"/>
    <cellStyle name="Normal 171 2 4" xfId="14360" xr:uid="{00000000-0005-0000-0000-000018380000}"/>
    <cellStyle name="Normal 171 2 4 2" xfId="14361" xr:uid="{00000000-0005-0000-0000-000019380000}"/>
    <cellStyle name="Normal 171 2 4 2 2" xfId="14362" xr:uid="{00000000-0005-0000-0000-00001A380000}"/>
    <cellStyle name="Normal 171 2 4 3" xfId="14363" xr:uid="{00000000-0005-0000-0000-00001B380000}"/>
    <cellStyle name="Normal 171 2 5" xfId="14364" xr:uid="{00000000-0005-0000-0000-00001C380000}"/>
    <cellStyle name="Normal 171 3" xfId="14365" xr:uid="{00000000-0005-0000-0000-00001D380000}"/>
    <cellStyle name="Normal 171 3 2" xfId="14366" xr:uid="{00000000-0005-0000-0000-00001E380000}"/>
    <cellStyle name="Normal 171 3 2 2" xfId="14367" xr:uid="{00000000-0005-0000-0000-00001F380000}"/>
    <cellStyle name="Normal 171 3 2 2 2" xfId="14368" xr:uid="{00000000-0005-0000-0000-000020380000}"/>
    <cellStyle name="Normal 171 3 2 3" xfId="14369" xr:uid="{00000000-0005-0000-0000-000021380000}"/>
    <cellStyle name="Normal 171 3 2 3 2" xfId="14370" xr:uid="{00000000-0005-0000-0000-000022380000}"/>
    <cellStyle name="Normal 171 3 2 3 2 2" xfId="14371" xr:uid="{00000000-0005-0000-0000-000023380000}"/>
    <cellStyle name="Normal 171 3 2 3 3" xfId="14372" xr:uid="{00000000-0005-0000-0000-000024380000}"/>
    <cellStyle name="Normal 171 3 2 4" xfId="14373" xr:uid="{00000000-0005-0000-0000-000025380000}"/>
    <cellStyle name="Normal 171 3 3" xfId="14374" xr:uid="{00000000-0005-0000-0000-000026380000}"/>
    <cellStyle name="Normal 171 3 3 2" xfId="14375" xr:uid="{00000000-0005-0000-0000-000027380000}"/>
    <cellStyle name="Normal 171 3 3 2 2" xfId="14376" xr:uid="{00000000-0005-0000-0000-000028380000}"/>
    <cellStyle name="Normal 171 3 3 3" xfId="14377" xr:uid="{00000000-0005-0000-0000-000029380000}"/>
    <cellStyle name="Normal 171 3 4" xfId="14378" xr:uid="{00000000-0005-0000-0000-00002A380000}"/>
    <cellStyle name="Normal 171 3 4 2" xfId="14379" xr:uid="{00000000-0005-0000-0000-00002B380000}"/>
    <cellStyle name="Normal 171 3 4 2 2" xfId="14380" xr:uid="{00000000-0005-0000-0000-00002C380000}"/>
    <cellStyle name="Normal 171 3 4 3" xfId="14381" xr:uid="{00000000-0005-0000-0000-00002D380000}"/>
    <cellStyle name="Normal 171 3 5" xfId="14382" xr:uid="{00000000-0005-0000-0000-00002E380000}"/>
    <cellStyle name="Normal 171 3 5 2" xfId="14383" xr:uid="{00000000-0005-0000-0000-00002F380000}"/>
    <cellStyle name="Normal 171 3 5 2 2" xfId="14384" xr:uid="{00000000-0005-0000-0000-000030380000}"/>
    <cellStyle name="Normal 171 3 5 3" xfId="14385" xr:uid="{00000000-0005-0000-0000-000031380000}"/>
    <cellStyle name="Normal 171 3 6" xfId="14386" xr:uid="{00000000-0005-0000-0000-000032380000}"/>
    <cellStyle name="Normal 171 4" xfId="14387" xr:uid="{00000000-0005-0000-0000-000033380000}"/>
    <cellStyle name="Normal 171 4 2" xfId="14388" xr:uid="{00000000-0005-0000-0000-000034380000}"/>
    <cellStyle name="Normal 171 4 2 2" xfId="14389" xr:uid="{00000000-0005-0000-0000-000035380000}"/>
    <cellStyle name="Normal 171 4 3" xfId="14390" xr:uid="{00000000-0005-0000-0000-000036380000}"/>
    <cellStyle name="Normal 171 5" xfId="14391" xr:uid="{00000000-0005-0000-0000-000037380000}"/>
    <cellStyle name="Normal 171 5 2" xfId="14392" xr:uid="{00000000-0005-0000-0000-000038380000}"/>
    <cellStyle name="Normal 171 5 2 2" xfId="14393" xr:uid="{00000000-0005-0000-0000-000039380000}"/>
    <cellStyle name="Normal 171 5 3" xfId="14394" xr:uid="{00000000-0005-0000-0000-00003A380000}"/>
    <cellStyle name="Normal 171 6" xfId="14395" xr:uid="{00000000-0005-0000-0000-00003B380000}"/>
    <cellStyle name="Normal 171 6 2" xfId="14396" xr:uid="{00000000-0005-0000-0000-00003C380000}"/>
    <cellStyle name="Normal 171 6 2 2" xfId="14397" xr:uid="{00000000-0005-0000-0000-00003D380000}"/>
    <cellStyle name="Normal 171 6 3" xfId="14398" xr:uid="{00000000-0005-0000-0000-00003E380000}"/>
    <cellStyle name="Normal 171 7" xfId="14399" xr:uid="{00000000-0005-0000-0000-00003F380000}"/>
    <cellStyle name="Normal 172" xfId="14400" xr:uid="{00000000-0005-0000-0000-000040380000}"/>
    <cellStyle name="Normal 172 2" xfId="14401" xr:uid="{00000000-0005-0000-0000-000041380000}"/>
    <cellStyle name="Normal 172 2 2" xfId="14402" xr:uid="{00000000-0005-0000-0000-000042380000}"/>
    <cellStyle name="Normal 172 2 2 2" xfId="14403" xr:uid="{00000000-0005-0000-0000-000043380000}"/>
    <cellStyle name="Normal 172 2 3" xfId="14404" xr:uid="{00000000-0005-0000-0000-000044380000}"/>
    <cellStyle name="Normal 172 2 3 2" xfId="14405" xr:uid="{00000000-0005-0000-0000-000045380000}"/>
    <cellStyle name="Normal 172 2 3 2 2" xfId="14406" xr:uid="{00000000-0005-0000-0000-000046380000}"/>
    <cellStyle name="Normal 172 2 3 3" xfId="14407" xr:uid="{00000000-0005-0000-0000-000047380000}"/>
    <cellStyle name="Normal 172 2 4" xfId="14408" xr:uid="{00000000-0005-0000-0000-000048380000}"/>
    <cellStyle name="Normal 172 2 4 2" xfId="14409" xr:uid="{00000000-0005-0000-0000-000049380000}"/>
    <cellStyle name="Normal 172 2 4 2 2" xfId="14410" xr:uid="{00000000-0005-0000-0000-00004A380000}"/>
    <cellStyle name="Normal 172 2 4 3" xfId="14411" xr:uid="{00000000-0005-0000-0000-00004B380000}"/>
    <cellStyle name="Normal 172 2 5" xfId="14412" xr:uid="{00000000-0005-0000-0000-00004C380000}"/>
    <cellStyle name="Normal 172 3" xfId="14413" xr:uid="{00000000-0005-0000-0000-00004D380000}"/>
    <cellStyle name="Normal 172 3 2" xfId="14414" xr:uid="{00000000-0005-0000-0000-00004E380000}"/>
    <cellStyle name="Normal 172 3 2 2" xfId="14415" xr:uid="{00000000-0005-0000-0000-00004F380000}"/>
    <cellStyle name="Normal 172 3 2 2 2" xfId="14416" xr:uid="{00000000-0005-0000-0000-000050380000}"/>
    <cellStyle name="Normal 172 3 2 3" xfId="14417" xr:uid="{00000000-0005-0000-0000-000051380000}"/>
    <cellStyle name="Normal 172 3 2 3 2" xfId="14418" xr:uid="{00000000-0005-0000-0000-000052380000}"/>
    <cellStyle name="Normal 172 3 2 3 2 2" xfId="14419" xr:uid="{00000000-0005-0000-0000-000053380000}"/>
    <cellStyle name="Normal 172 3 2 3 3" xfId="14420" xr:uid="{00000000-0005-0000-0000-000054380000}"/>
    <cellStyle name="Normal 172 3 2 4" xfId="14421" xr:uid="{00000000-0005-0000-0000-000055380000}"/>
    <cellStyle name="Normal 172 3 3" xfId="14422" xr:uid="{00000000-0005-0000-0000-000056380000}"/>
    <cellStyle name="Normal 172 3 3 2" xfId="14423" xr:uid="{00000000-0005-0000-0000-000057380000}"/>
    <cellStyle name="Normal 172 3 3 2 2" xfId="14424" xr:uid="{00000000-0005-0000-0000-000058380000}"/>
    <cellStyle name="Normal 172 3 3 3" xfId="14425" xr:uid="{00000000-0005-0000-0000-000059380000}"/>
    <cellStyle name="Normal 172 3 4" xfId="14426" xr:uid="{00000000-0005-0000-0000-00005A380000}"/>
    <cellStyle name="Normal 172 3 4 2" xfId="14427" xr:uid="{00000000-0005-0000-0000-00005B380000}"/>
    <cellStyle name="Normal 172 3 4 2 2" xfId="14428" xr:uid="{00000000-0005-0000-0000-00005C380000}"/>
    <cellStyle name="Normal 172 3 4 3" xfId="14429" xr:uid="{00000000-0005-0000-0000-00005D380000}"/>
    <cellStyle name="Normal 172 3 5" xfId="14430" xr:uid="{00000000-0005-0000-0000-00005E380000}"/>
    <cellStyle name="Normal 172 3 5 2" xfId="14431" xr:uid="{00000000-0005-0000-0000-00005F380000}"/>
    <cellStyle name="Normal 172 3 5 2 2" xfId="14432" xr:uid="{00000000-0005-0000-0000-000060380000}"/>
    <cellStyle name="Normal 172 3 5 3" xfId="14433" xr:uid="{00000000-0005-0000-0000-000061380000}"/>
    <cellStyle name="Normal 172 3 6" xfId="14434" xr:uid="{00000000-0005-0000-0000-000062380000}"/>
    <cellStyle name="Normal 172 4" xfId="14435" xr:uid="{00000000-0005-0000-0000-000063380000}"/>
    <cellStyle name="Normal 172 4 2" xfId="14436" xr:uid="{00000000-0005-0000-0000-000064380000}"/>
    <cellStyle name="Normal 172 4 2 2" xfId="14437" xr:uid="{00000000-0005-0000-0000-000065380000}"/>
    <cellStyle name="Normal 172 4 3" xfId="14438" xr:uid="{00000000-0005-0000-0000-000066380000}"/>
    <cellStyle name="Normal 172 5" xfId="14439" xr:uid="{00000000-0005-0000-0000-000067380000}"/>
    <cellStyle name="Normal 172 5 2" xfId="14440" xr:uid="{00000000-0005-0000-0000-000068380000}"/>
    <cellStyle name="Normal 172 5 2 2" xfId="14441" xr:uid="{00000000-0005-0000-0000-000069380000}"/>
    <cellStyle name="Normal 172 5 3" xfId="14442" xr:uid="{00000000-0005-0000-0000-00006A380000}"/>
    <cellStyle name="Normal 172 6" xfId="14443" xr:uid="{00000000-0005-0000-0000-00006B380000}"/>
    <cellStyle name="Normal 172 6 2" xfId="14444" xr:uid="{00000000-0005-0000-0000-00006C380000}"/>
    <cellStyle name="Normal 172 6 2 2" xfId="14445" xr:uid="{00000000-0005-0000-0000-00006D380000}"/>
    <cellStyle name="Normal 172 6 3" xfId="14446" xr:uid="{00000000-0005-0000-0000-00006E380000}"/>
    <cellStyle name="Normal 172 7" xfId="14447" xr:uid="{00000000-0005-0000-0000-00006F380000}"/>
    <cellStyle name="Normal 173" xfId="14448" xr:uid="{00000000-0005-0000-0000-000070380000}"/>
    <cellStyle name="Normal 173 2" xfId="14449" xr:uid="{00000000-0005-0000-0000-000071380000}"/>
    <cellStyle name="Normal 173 2 2" xfId="14450" xr:uid="{00000000-0005-0000-0000-000072380000}"/>
    <cellStyle name="Normal 173 2 2 2" xfId="14451" xr:uid="{00000000-0005-0000-0000-000073380000}"/>
    <cellStyle name="Normal 173 2 3" xfId="14452" xr:uid="{00000000-0005-0000-0000-000074380000}"/>
    <cellStyle name="Normal 173 2 3 2" xfId="14453" xr:uid="{00000000-0005-0000-0000-000075380000}"/>
    <cellStyle name="Normal 173 2 3 2 2" xfId="14454" xr:uid="{00000000-0005-0000-0000-000076380000}"/>
    <cellStyle name="Normal 173 2 3 3" xfId="14455" xr:uid="{00000000-0005-0000-0000-000077380000}"/>
    <cellStyle name="Normal 173 2 4" xfId="14456" xr:uid="{00000000-0005-0000-0000-000078380000}"/>
    <cellStyle name="Normal 173 2 4 2" xfId="14457" xr:uid="{00000000-0005-0000-0000-000079380000}"/>
    <cellStyle name="Normal 173 2 4 2 2" xfId="14458" xr:uid="{00000000-0005-0000-0000-00007A380000}"/>
    <cellStyle name="Normal 173 2 4 3" xfId="14459" xr:uid="{00000000-0005-0000-0000-00007B380000}"/>
    <cellStyle name="Normal 173 2 5" xfId="14460" xr:uid="{00000000-0005-0000-0000-00007C380000}"/>
    <cellStyle name="Normal 173 3" xfId="14461" xr:uid="{00000000-0005-0000-0000-00007D380000}"/>
    <cellStyle name="Normal 173 3 2" xfId="14462" xr:uid="{00000000-0005-0000-0000-00007E380000}"/>
    <cellStyle name="Normal 173 3 2 2" xfId="14463" xr:uid="{00000000-0005-0000-0000-00007F380000}"/>
    <cellStyle name="Normal 173 3 2 2 2" xfId="14464" xr:uid="{00000000-0005-0000-0000-000080380000}"/>
    <cellStyle name="Normal 173 3 2 3" xfId="14465" xr:uid="{00000000-0005-0000-0000-000081380000}"/>
    <cellStyle name="Normal 173 3 2 3 2" xfId="14466" xr:uid="{00000000-0005-0000-0000-000082380000}"/>
    <cellStyle name="Normal 173 3 2 3 2 2" xfId="14467" xr:uid="{00000000-0005-0000-0000-000083380000}"/>
    <cellStyle name="Normal 173 3 2 3 3" xfId="14468" xr:uid="{00000000-0005-0000-0000-000084380000}"/>
    <cellStyle name="Normal 173 3 2 4" xfId="14469" xr:uid="{00000000-0005-0000-0000-000085380000}"/>
    <cellStyle name="Normal 173 3 3" xfId="14470" xr:uid="{00000000-0005-0000-0000-000086380000}"/>
    <cellStyle name="Normal 173 3 3 2" xfId="14471" xr:uid="{00000000-0005-0000-0000-000087380000}"/>
    <cellStyle name="Normal 173 3 3 2 2" xfId="14472" xr:uid="{00000000-0005-0000-0000-000088380000}"/>
    <cellStyle name="Normal 173 3 3 3" xfId="14473" xr:uid="{00000000-0005-0000-0000-000089380000}"/>
    <cellStyle name="Normal 173 3 4" xfId="14474" xr:uid="{00000000-0005-0000-0000-00008A380000}"/>
    <cellStyle name="Normal 173 3 4 2" xfId="14475" xr:uid="{00000000-0005-0000-0000-00008B380000}"/>
    <cellStyle name="Normal 173 3 4 2 2" xfId="14476" xr:uid="{00000000-0005-0000-0000-00008C380000}"/>
    <cellStyle name="Normal 173 3 4 3" xfId="14477" xr:uid="{00000000-0005-0000-0000-00008D380000}"/>
    <cellStyle name="Normal 173 3 5" xfId="14478" xr:uid="{00000000-0005-0000-0000-00008E380000}"/>
    <cellStyle name="Normal 173 3 5 2" xfId="14479" xr:uid="{00000000-0005-0000-0000-00008F380000}"/>
    <cellStyle name="Normal 173 3 5 2 2" xfId="14480" xr:uid="{00000000-0005-0000-0000-000090380000}"/>
    <cellStyle name="Normal 173 3 5 3" xfId="14481" xr:uid="{00000000-0005-0000-0000-000091380000}"/>
    <cellStyle name="Normal 173 3 6" xfId="14482" xr:uid="{00000000-0005-0000-0000-000092380000}"/>
    <cellStyle name="Normal 173 4" xfId="14483" xr:uid="{00000000-0005-0000-0000-000093380000}"/>
    <cellStyle name="Normal 173 4 2" xfId="14484" xr:uid="{00000000-0005-0000-0000-000094380000}"/>
    <cellStyle name="Normal 173 4 2 2" xfId="14485" xr:uid="{00000000-0005-0000-0000-000095380000}"/>
    <cellStyle name="Normal 173 4 3" xfId="14486" xr:uid="{00000000-0005-0000-0000-000096380000}"/>
    <cellStyle name="Normal 173 5" xfId="14487" xr:uid="{00000000-0005-0000-0000-000097380000}"/>
    <cellStyle name="Normal 173 5 2" xfId="14488" xr:uid="{00000000-0005-0000-0000-000098380000}"/>
    <cellStyle name="Normal 173 5 2 2" xfId="14489" xr:uid="{00000000-0005-0000-0000-000099380000}"/>
    <cellStyle name="Normal 173 5 3" xfId="14490" xr:uid="{00000000-0005-0000-0000-00009A380000}"/>
    <cellStyle name="Normal 173 6" xfId="14491" xr:uid="{00000000-0005-0000-0000-00009B380000}"/>
    <cellStyle name="Normal 173 6 2" xfId="14492" xr:uid="{00000000-0005-0000-0000-00009C380000}"/>
    <cellStyle name="Normal 173 6 2 2" xfId="14493" xr:uid="{00000000-0005-0000-0000-00009D380000}"/>
    <cellStyle name="Normal 173 6 3" xfId="14494" xr:uid="{00000000-0005-0000-0000-00009E380000}"/>
    <cellStyle name="Normal 173 7" xfId="14495" xr:uid="{00000000-0005-0000-0000-00009F380000}"/>
    <cellStyle name="Normal 174" xfId="14496" xr:uid="{00000000-0005-0000-0000-0000A0380000}"/>
    <cellStyle name="Normal 174 2" xfId="14497" xr:uid="{00000000-0005-0000-0000-0000A1380000}"/>
    <cellStyle name="Normal 174 2 2" xfId="14498" xr:uid="{00000000-0005-0000-0000-0000A2380000}"/>
    <cellStyle name="Normal 174 2 2 2" xfId="14499" xr:uid="{00000000-0005-0000-0000-0000A3380000}"/>
    <cellStyle name="Normal 174 2 3" xfId="14500" xr:uid="{00000000-0005-0000-0000-0000A4380000}"/>
    <cellStyle name="Normal 174 2 3 2" xfId="14501" xr:uid="{00000000-0005-0000-0000-0000A5380000}"/>
    <cellStyle name="Normal 174 2 3 2 2" xfId="14502" xr:uid="{00000000-0005-0000-0000-0000A6380000}"/>
    <cellStyle name="Normal 174 2 3 3" xfId="14503" xr:uid="{00000000-0005-0000-0000-0000A7380000}"/>
    <cellStyle name="Normal 174 2 4" xfId="14504" xr:uid="{00000000-0005-0000-0000-0000A8380000}"/>
    <cellStyle name="Normal 174 2 4 2" xfId="14505" xr:uid="{00000000-0005-0000-0000-0000A9380000}"/>
    <cellStyle name="Normal 174 2 4 2 2" xfId="14506" xr:uid="{00000000-0005-0000-0000-0000AA380000}"/>
    <cellStyle name="Normal 174 2 4 3" xfId="14507" xr:uid="{00000000-0005-0000-0000-0000AB380000}"/>
    <cellStyle name="Normal 174 2 5" xfId="14508" xr:uid="{00000000-0005-0000-0000-0000AC380000}"/>
    <cellStyle name="Normal 174 3" xfId="14509" xr:uid="{00000000-0005-0000-0000-0000AD380000}"/>
    <cellStyle name="Normal 174 3 2" xfId="14510" xr:uid="{00000000-0005-0000-0000-0000AE380000}"/>
    <cellStyle name="Normal 174 3 2 2" xfId="14511" xr:uid="{00000000-0005-0000-0000-0000AF380000}"/>
    <cellStyle name="Normal 174 3 2 2 2" xfId="14512" xr:uid="{00000000-0005-0000-0000-0000B0380000}"/>
    <cellStyle name="Normal 174 3 2 3" xfId="14513" xr:uid="{00000000-0005-0000-0000-0000B1380000}"/>
    <cellStyle name="Normal 174 3 2 3 2" xfId="14514" xr:uid="{00000000-0005-0000-0000-0000B2380000}"/>
    <cellStyle name="Normal 174 3 2 3 2 2" xfId="14515" xr:uid="{00000000-0005-0000-0000-0000B3380000}"/>
    <cellStyle name="Normal 174 3 2 3 3" xfId="14516" xr:uid="{00000000-0005-0000-0000-0000B4380000}"/>
    <cellStyle name="Normal 174 3 2 4" xfId="14517" xr:uid="{00000000-0005-0000-0000-0000B5380000}"/>
    <cellStyle name="Normal 174 3 3" xfId="14518" xr:uid="{00000000-0005-0000-0000-0000B6380000}"/>
    <cellStyle name="Normal 174 3 3 2" xfId="14519" xr:uid="{00000000-0005-0000-0000-0000B7380000}"/>
    <cellStyle name="Normal 174 3 3 2 2" xfId="14520" xr:uid="{00000000-0005-0000-0000-0000B8380000}"/>
    <cellStyle name="Normal 174 3 3 3" xfId="14521" xr:uid="{00000000-0005-0000-0000-0000B9380000}"/>
    <cellStyle name="Normal 174 3 4" xfId="14522" xr:uid="{00000000-0005-0000-0000-0000BA380000}"/>
    <cellStyle name="Normal 174 3 4 2" xfId="14523" xr:uid="{00000000-0005-0000-0000-0000BB380000}"/>
    <cellStyle name="Normal 174 3 4 2 2" xfId="14524" xr:uid="{00000000-0005-0000-0000-0000BC380000}"/>
    <cellStyle name="Normal 174 3 4 3" xfId="14525" xr:uid="{00000000-0005-0000-0000-0000BD380000}"/>
    <cellStyle name="Normal 174 3 5" xfId="14526" xr:uid="{00000000-0005-0000-0000-0000BE380000}"/>
    <cellStyle name="Normal 174 3 5 2" xfId="14527" xr:uid="{00000000-0005-0000-0000-0000BF380000}"/>
    <cellStyle name="Normal 174 3 5 2 2" xfId="14528" xr:uid="{00000000-0005-0000-0000-0000C0380000}"/>
    <cellStyle name="Normal 174 3 5 3" xfId="14529" xr:uid="{00000000-0005-0000-0000-0000C1380000}"/>
    <cellStyle name="Normal 174 3 6" xfId="14530" xr:uid="{00000000-0005-0000-0000-0000C2380000}"/>
    <cellStyle name="Normal 174 4" xfId="14531" xr:uid="{00000000-0005-0000-0000-0000C3380000}"/>
    <cellStyle name="Normal 174 4 2" xfId="14532" xr:uid="{00000000-0005-0000-0000-0000C4380000}"/>
    <cellStyle name="Normal 174 4 2 2" xfId="14533" xr:uid="{00000000-0005-0000-0000-0000C5380000}"/>
    <cellStyle name="Normal 174 4 3" xfId="14534" xr:uid="{00000000-0005-0000-0000-0000C6380000}"/>
    <cellStyle name="Normal 174 5" xfId="14535" xr:uid="{00000000-0005-0000-0000-0000C7380000}"/>
    <cellStyle name="Normal 174 5 2" xfId="14536" xr:uid="{00000000-0005-0000-0000-0000C8380000}"/>
    <cellStyle name="Normal 174 5 2 2" xfId="14537" xr:uid="{00000000-0005-0000-0000-0000C9380000}"/>
    <cellStyle name="Normal 174 5 3" xfId="14538" xr:uid="{00000000-0005-0000-0000-0000CA380000}"/>
    <cellStyle name="Normal 174 6" xfId="14539" xr:uid="{00000000-0005-0000-0000-0000CB380000}"/>
    <cellStyle name="Normal 174 6 2" xfId="14540" xr:uid="{00000000-0005-0000-0000-0000CC380000}"/>
    <cellStyle name="Normal 174 6 2 2" xfId="14541" xr:uid="{00000000-0005-0000-0000-0000CD380000}"/>
    <cellStyle name="Normal 174 6 3" xfId="14542" xr:uid="{00000000-0005-0000-0000-0000CE380000}"/>
    <cellStyle name="Normal 174 7" xfId="14543" xr:uid="{00000000-0005-0000-0000-0000CF380000}"/>
    <cellStyle name="Normal 175" xfId="14544" xr:uid="{00000000-0005-0000-0000-0000D0380000}"/>
    <cellStyle name="Normal 175 2" xfId="14545" xr:uid="{00000000-0005-0000-0000-0000D1380000}"/>
    <cellStyle name="Normal 175 2 2" xfId="14546" xr:uid="{00000000-0005-0000-0000-0000D2380000}"/>
    <cellStyle name="Normal 175 2 2 2" xfId="14547" xr:uid="{00000000-0005-0000-0000-0000D3380000}"/>
    <cellStyle name="Normal 175 2 3" xfId="14548" xr:uid="{00000000-0005-0000-0000-0000D4380000}"/>
    <cellStyle name="Normal 175 2 3 2" xfId="14549" xr:uid="{00000000-0005-0000-0000-0000D5380000}"/>
    <cellStyle name="Normal 175 2 3 2 2" xfId="14550" xr:uid="{00000000-0005-0000-0000-0000D6380000}"/>
    <cellStyle name="Normal 175 2 3 3" xfId="14551" xr:uid="{00000000-0005-0000-0000-0000D7380000}"/>
    <cellStyle name="Normal 175 2 4" xfId="14552" xr:uid="{00000000-0005-0000-0000-0000D8380000}"/>
    <cellStyle name="Normal 175 2 4 2" xfId="14553" xr:uid="{00000000-0005-0000-0000-0000D9380000}"/>
    <cellStyle name="Normal 175 2 4 2 2" xfId="14554" xr:uid="{00000000-0005-0000-0000-0000DA380000}"/>
    <cellStyle name="Normal 175 2 4 3" xfId="14555" xr:uid="{00000000-0005-0000-0000-0000DB380000}"/>
    <cellStyle name="Normal 175 2 5" xfId="14556" xr:uid="{00000000-0005-0000-0000-0000DC380000}"/>
    <cellStyle name="Normal 175 3" xfId="14557" xr:uid="{00000000-0005-0000-0000-0000DD380000}"/>
    <cellStyle name="Normal 175 3 2" xfId="14558" xr:uid="{00000000-0005-0000-0000-0000DE380000}"/>
    <cellStyle name="Normal 175 3 2 2" xfId="14559" xr:uid="{00000000-0005-0000-0000-0000DF380000}"/>
    <cellStyle name="Normal 175 3 2 2 2" xfId="14560" xr:uid="{00000000-0005-0000-0000-0000E0380000}"/>
    <cellStyle name="Normal 175 3 2 3" xfId="14561" xr:uid="{00000000-0005-0000-0000-0000E1380000}"/>
    <cellStyle name="Normal 175 3 2 3 2" xfId="14562" xr:uid="{00000000-0005-0000-0000-0000E2380000}"/>
    <cellStyle name="Normal 175 3 2 3 2 2" xfId="14563" xr:uid="{00000000-0005-0000-0000-0000E3380000}"/>
    <cellStyle name="Normal 175 3 2 3 3" xfId="14564" xr:uid="{00000000-0005-0000-0000-0000E4380000}"/>
    <cellStyle name="Normal 175 3 2 4" xfId="14565" xr:uid="{00000000-0005-0000-0000-0000E5380000}"/>
    <cellStyle name="Normal 175 3 3" xfId="14566" xr:uid="{00000000-0005-0000-0000-0000E6380000}"/>
    <cellStyle name="Normal 175 3 3 2" xfId="14567" xr:uid="{00000000-0005-0000-0000-0000E7380000}"/>
    <cellStyle name="Normal 175 3 3 2 2" xfId="14568" xr:uid="{00000000-0005-0000-0000-0000E8380000}"/>
    <cellStyle name="Normal 175 3 3 3" xfId="14569" xr:uid="{00000000-0005-0000-0000-0000E9380000}"/>
    <cellStyle name="Normal 175 3 4" xfId="14570" xr:uid="{00000000-0005-0000-0000-0000EA380000}"/>
    <cellStyle name="Normal 175 3 4 2" xfId="14571" xr:uid="{00000000-0005-0000-0000-0000EB380000}"/>
    <cellStyle name="Normal 175 3 4 2 2" xfId="14572" xr:uid="{00000000-0005-0000-0000-0000EC380000}"/>
    <cellStyle name="Normal 175 3 4 3" xfId="14573" xr:uid="{00000000-0005-0000-0000-0000ED380000}"/>
    <cellStyle name="Normal 175 3 5" xfId="14574" xr:uid="{00000000-0005-0000-0000-0000EE380000}"/>
    <cellStyle name="Normal 175 3 5 2" xfId="14575" xr:uid="{00000000-0005-0000-0000-0000EF380000}"/>
    <cellStyle name="Normal 175 3 5 2 2" xfId="14576" xr:uid="{00000000-0005-0000-0000-0000F0380000}"/>
    <cellStyle name="Normal 175 3 5 3" xfId="14577" xr:uid="{00000000-0005-0000-0000-0000F1380000}"/>
    <cellStyle name="Normal 175 3 6" xfId="14578" xr:uid="{00000000-0005-0000-0000-0000F2380000}"/>
    <cellStyle name="Normal 175 4" xfId="14579" xr:uid="{00000000-0005-0000-0000-0000F3380000}"/>
    <cellStyle name="Normal 175 4 2" xfId="14580" xr:uid="{00000000-0005-0000-0000-0000F4380000}"/>
    <cellStyle name="Normal 175 4 2 2" xfId="14581" xr:uid="{00000000-0005-0000-0000-0000F5380000}"/>
    <cellStyle name="Normal 175 4 3" xfId="14582" xr:uid="{00000000-0005-0000-0000-0000F6380000}"/>
    <cellStyle name="Normal 175 5" xfId="14583" xr:uid="{00000000-0005-0000-0000-0000F7380000}"/>
    <cellStyle name="Normal 175 5 2" xfId="14584" xr:uid="{00000000-0005-0000-0000-0000F8380000}"/>
    <cellStyle name="Normal 175 5 2 2" xfId="14585" xr:uid="{00000000-0005-0000-0000-0000F9380000}"/>
    <cellStyle name="Normal 175 5 3" xfId="14586" xr:uid="{00000000-0005-0000-0000-0000FA380000}"/>
    <cellStyle name="Normal 175 6" xfId="14587" xr:uid="{00000000-0005-0000-0000-0000FB380000}"/>
    <cellStyle name="Normal 175 6 2" xfId="14588" xr:uid="{00000000-0005-0000-0000-0000FC380000}"/>
    <cellStyle name="Normal 175 6 2 2" xfId="14589" xr:uid="{00000000-0005-0000-0000-0000FD380000}"/>
    <cellStyle name="Normal 175 6 3" xfId="14590" xr:uid="{00000000-0005-0000-0000-0000FE380000}"/>
    <cellStyle name="Normal 175 7" xfId="14591" xr:uid="{00000000-0005-0000-0000-0000FF380000}"/>
    <cellStyle name="Normal 176" xfId="14592" xr:uid="{00000000-0005-0000-0000-000000390000}"/>
    <cellStyle name="Normal 176 2" xfId="14593" xr:uid="{00000000-0005-0000-0000-000001390000}"/>
    <cellStyle name="Normal 176 2 2" xfId="14594" xr:uid="{00000000-0005-0000-0000-000002390000}"/>
    <cellStyle name="Normal 176 2 2 2" xfId="14595" xr:uid="{00000000-0005-0000-0000-000003390000}"/>
    <cellStyle name="Normal 176 2 3" xfId="14596" xr:uid="{00000000-0005-0000-0000-000004390000}"/>
    <cellStyle name="Normal 176 2 3 2" xfId="14597" xr:uid="{00000000-0005-0000-0000-000005390000}"/>
    <cellStyle name="Normal 176 2 3 2 2" xfId="14598" xr:uid="{00000000-0005-0000-0000-000006390000}"/>
    <cellStyle name="Normal 176 2 3 3" xfId="14599" xr:uid="{00000000-0005-0000-0000-000007390000}"/>
    <cellStyle name="Normal 176 2 4" xfId="14600" xr:uid="{00000000-0005-0000-0000-000008390000}"/>
    <cellStyle name="Normal 176 2 4 2" xfId="14601" xr:uid="{00000000-0005-0000-0000-000009390000}"/>
    <cellStyle name="Normal 176 2 4 2 2" xfId="14602" xr:uid="{00000000-0005-0000-0000-00000A390000}"/>
    <cellStyle name="Normal 176 2 4 3" xfId="14603" xr:uid="{00000000-0005-0000-0000-00000B390000}"/>
    <cellStyle name="Normal 176 2 5" xfId="14604" xr:uid="{00000000-0005-0000-0000-00000C390000}"/>
    <cellStyle name="Normal 176 3" xfId="14605" xr:uid="{00000000-0005-0000-0000-00000D390000}"/>
    <cellStyle name="Normal 176 3 2" xfId="14606" xr:uid="{00000000-0005-0000-0000-00000E390000}"/>
    <cellStyle name="Normal 176 3 2 2" xfId="14607" xr:uid="{00000000-0005-0000-0000-00000F390000}"/>
    <cellStyle name="Normal 176 3 2 2 2" xfId="14608" xr:uid="{00000000-0005-0000-0000-000010390000}"/>
    <cellStyle name="Normal 176 3 2 3" xfId="14609" xr:uid="{00000000-0005-0000-0000-000011390000}"/>
    <cellStyle name="Normal 176 3 2 3 2" xfId="14610" xr:uid="{00000000-0005-0000-0000-000012390000}"/>
    <cellStyle name="Normal 176 3 2 3 2 2" xfId="14611" xr:uid="{00000000-0005-0000-0000-000013390000}"/>
    <cellStyle name="Normal 176 3 2 3 3" xfId="14612" xr:uid="{00000000-0005-0000-0000-000014390000}"/>
    <cellStyle name="Normal 176 3 2 4" xfId="14613" xr:uid="{00000000-0005-0000-0000-000015390000}"/>
    <cellStyle name="Normal 176 3 3" xfId="14614" xr:uid="{00000000-0005-0000-0000-000016390000}"/>
    <cellStyle name="Normal 176 3 3 2" xfId="14615" xr:uid="{00000000-0005-0000-0000-000017390000}"/>
    <cellStyle name="Normal 176 3 3 2 2" xfId="14616" xr:uid="{00000000-0005-0000-0000-000018390000}"/>
    <cellStyle name="Normal 176 3 3 3" xfId="14617" xr:uid="{00000000-0005-0000-0000-000019390000}"/>
    <cellStyle name="Normal 176 3 4" xfId="14618" xr:uid="{00000000-0005-0000-0000-00001A390000}"/>
    <cellStyle name="Normal 176 3 4 2" xfId="14619" xr:uid="{00000000-0005-0000-0000-00001B390000}"/>
    <cellStyle name="Normal 176 3 4 2 2" xfId="14620" xr:uid="{00000000-0005-0000-0000-00001C390000}"/>
    <cellStyle name="Normal 176 3 4 3" xfId="14621" xr:uid="{00000000-0005-0000-0000-00001D390000}"/>
    <cellStyle name="Normal 176 3 5" xfId="14622" xr:uid="{00000000-0005-0000-0000-00001E390000}"/>
    <cellStyle name="Normal 176 3 5 2" xfId="14623" xr:uid="{00000000-0005-0000-0000-00001F390000}"/>
    <cellStyle name="Normal 176 3 5 2 2" xfId="14624" xr:uid="{00000000-0005-0000-0000-000020390000}"/>
    <cellStyle name="Normal 176 3 5 3" xfId="14625" xr:uid="{00000000-0005-0000-0000-000021390000}"/>
    <cellStyle name="Normal 176 3 6" xfId="14626" xr:uid="{00000000-0005-0000-0000-000022390000}"/>
    <cellStyle name="Normal 176 4" xfId="14627" xr:uid="{00000000-0005-0000-0000-000023390000}"/>
    <cellStyle name="Normal 176 4 2" xfId="14628" xr:uid="{00000000-0005-0000-0000-000024390000}"/>
    <cellStyle name="Normal 176 4 2 2" xfId="14629" xr:uid="{00000000-0005-0000-0000-000025390000}"/>
    <cellStyle name="Normal 176 4 3" xfId="14630" xr:uid="{00000000-0005-0000-0000-000026390000}"/>
    <cellStyle name="Normal 176 5" xfId="14631" xr:uid="{00000000-0005-0000-0000-000027390000}"/>
    <cellStyle name="Normal 176 5 2" xfId="14632" xr:uid="{00000000-0005-0000-0000-000028390000}"/>
    <cellStyle name="Normal 176 5 2 2" xfId="14633" xr:uid="{00000000-0005-0000-0000-000029390000}"/>
    <cellStyle name="Normal 176 5 3" xfId="14634" xr:uid="{00000000-0005-0000-0000-00002A390000}"/>
    <cellStyle name="Normal 176 6" xfId="14635" xr:uid="{00000000-0005-0000-0000-00002B390000}"/>
    <cellStyle name="Normal 176 6 2" xfId="14636" xr:uid="{00000000-0005-0000-0000-00002C390000}"/>
    <cellStyle name="Normal 176 6 2 2" xfId="14637" xr:uid="{00000000-0005-0000-0000-00002D390000}"/>
    <cellStyle name="Normal 176 6 3" xfId="14638" xr:uid="{00000000-0005-0000-0000-00002E390000}"/>
    <cellStyle name="Normal 176 7" xfId="14639" xr:uid="{00000000-0005-0000-0000-00002F390000}"/>
    <cellStyle name="Normal 177" xfId="14640" xr:uid="{00000000-0005-0000-0000-000030390000}"/>
    <cellStyle name="Normal 177 2" xfId="14641" xr:uid="{00000000-0005-0000-0000-000031390000}"/>
    <cellStyle name="Normal 177 2 2" xfId="14642" xr:uid="{00000000-0005-0000-0000-000032390000}"/>
    <cellStyle name="Normal 177 2 2 2" xfId="14643" xr:uid="{00000000-0005-0000-0000-000033390000}"/>
    <cellStyle name="Normal 177 2 3" xfId="14644" xr:uid="{00000000-0005-0000-0000-000034390000}"/>
    <cellStyle name="Normal 177 2 3 2" xfId="14645" xr:uid="{00000000-0005-0000-0000-000035390000}"/>
    <cellStyle name="Normal 177 2 3 2 2" xfId="14646" xr:uid="{00000000-0005-0000-0000-000036390000}"/>
    <cellStyle name="Normal 177 2 3 3" xfId="14647" xr:uid="{00000000-0005-0000-0000-000037390000}"/>
    <cellStyle name="Normal 177 2 4" xfId="14648" xr:uid="{00000000-0005-0000-0000-000038390000}"/>
    <cellStyle name="Normal 177 2 4 2" xfId="14649" xr:uid="{00000000-0005-0000-0000-000039390000}"/>
    <cellStyle name="Normal 177 2 4 2 2" xfId="14650" xr:uid="{00000000-0005-0000-0000-00003A390000}"/>
    <cellStyle name="Normal 177 2 4 3" xfId="14651" xr:uid="{00000000-0005-0000-0000-00003B390000}"/>
    <cellStyle name="Normal 177 2 5" xfId="14652" xr:uid="{00000000-0005-0000-0000-00003C390000}"/>
    <cellStyle name="Normal 177 3" xfId="14653" xr:uid="{00000000-0005-0000-0000-00003D390000}"/>
    <cellStyle name="Normal 177 3 2" xfId="14654" xr:uid="{00000000-0005-0000-0000-00003E390000}"/>
    <cellStyle name="Normal 177 3 2 2" xfId="14655" xr:uid="{00000000-0005-0000-0000-00003F390000}"/>
    <cellStyle name="Normal 177 3 2 2 2" xfId="14656" xr:uid="{00000000-0005-0000-0000-000040390000}"/>
    <cellStyle name="Normal 177 3 2 3" xfId="14657" xr:uid="{00000000-0005-0000-0000-000041390000}"/>
    <cellStyle name="Normal 177 3 2 3 2" xfId="14658" xr:uid="{00000000-0005-0000-0000-000042390000}"/>
    <cellStyle name="Normal 177 3 2 3 2 2" xfId="14659" xr:uid="{00000000-0005-0000-0000-000043390000}"/>
    <cellStyle name="Normal 177 3 2 3 3" xfId="14660" xr:uid="{00000000-0005-0000-0000-000044390000}"/>
    <cellStyle name="Normal 177 3 2 4" xfId="14661" xr:uid="{00000000-0005-0000-0000-000045390000}"/>
    <cellStyle name="Normal 177 3 3" xfId="14662" xr:uid="{00000000-0005-0000-0000-000046390000}"/>
    <cellStyle name="Normal 177 3 3 2" xfId="14663" xr:uid="{00000000-0005-0000-0000-000047390000}"/>
    <cellStyle name="Normal 177 3 3 2 2" xfId="14664" xr:uid="{00000000-0005-0000-0000-000048390000}"/>
    <cellStyle name="Normal 177 3 3 3" xfId="14665" xr:uid="{00000000-0005-0000-0000-000049390000}"/>
    <cellStyle name="Normal 177 3 4" xfId="14666" xr:uid="{00000000-0005-0000-0000-00004A390000}"/>
    <cellStyle name="Normal 177 3 4 2" xfId="14667" xr:uid="{00000000-0005-0000-0000-00004B390000}"/>
    <cellStyle name="Normal 177 3 4 2 2" xfId="14668" xr:uid="{00000000-0005-0000-0000-00004C390000}"/>
    <cellStyle name="Normal 177 3 4 3" xfId="14669" xr:uid="{00000000-0005-0000-0000-00004D390000}"/>
    <cellStyle name="Normal 177 3 5" xfId="14670" xr:uid="{00000000-0005-0000-0000-00004E390000}"/>
    <cellStyle name="Normal 177 3 5 2" xfId="14671" xr:uid="{00000000-0005-0000-0000-00004F390000}"/>
    <cellStyle name="Normal 177 3 5 2 2" xfId="14672" xr:uid="{00000000-0005-0000-0000-000050390000}"/>
    <cellStyle name="Normal 177 3 5 3" xfId="14673" xr:uid="{00000000-0005-0000-0000-000051390000}"/>
    <cellStyle name="Normal 177 3 6" xfId="14674" xr:uid="{00000000-0005-0000-0000-000052390000}"/>
    <cellStyle name="Normal 177 4" xfId="14675" xr:uid="{00000000-0005-0000-0000-000053390000}"/>
    <cellStyle name="Normal 177 4 2" xfId="14676" xr:uid="{00000000-0005-0000-0000-000054390000}"/>
    <cellStyle name="Normal 177 4 2 2" xfId="14677" xr:uid="{00000000-0005-0000-0000-000055390000}"/>
    <cellStyle name="Normal 177 4 3" xfId="14678" xr:uid="{00000000-0005-0000-0000-000056390000}"/>
    <cellStyle name="Normal 177 5" xfId="14679" xr:uid="{00000000-0005-0000-0000-000057390000}"/>
    <cellStyle name="Normal 177 5 2" xfId="14680" xr:uid="{00000000-0005-0000-0000-000058390000}"/>
    <cellStyle name="Normal 177 5 2 2" xfId="14681" xr:uid="{00000000-0005-0000-0000-000059390000}"/>
    <cellStyle name="Normal 177 5 3" xfId="14682" xr:uid="{00000000-0005-0000-0000-00005A390000}"/>
    <cellStyle name="Normal 177 6" xfId="14683" xr:uid="{00000000-0005-0000-0000-00005B390000}"/>
    <cellStyle name="Normal 177 6 2" xfId="14684" xr:uid="{00000000-0005-0000-0000-00005C390000}"/>
    <cellStyle name="Normal 177 6 2 2" xfId="14685" xr:uid="{00000000-0005-0000-0000-00005D390000}"/>
    <cellStyle name="Normal 177 6 3" xfId="14686" xr:uid="{00000000-0005-0000-0000-00005E390000}"/>
    <cellStyle name="Normal 177 7" xfId="14687" xr:uid="{00000000-0005-0000-0000-00005F390000}"/>
    <cellStyle name="Normal 178" xfId="14688" xr:uid="{00000000-0005-0000-0000-000060390000}"/>
    <cellStyle name="Normal 178 2" xfId="14689" xr:uid="{00000000-0005-0000-0000-000061390000}"/>
    <cellStyle name="Normal 178 2 2" xfId="14690" xr:uid="{00000000-0005-0000-0000-000062390000}"/>
    <cellStyle name="Normal 178 2 2 2" xfId="14691" xr:uid="{00000000-0005-0000-0000-000063390000}"/>
    <cellStyle name="Normal 178 2 3" xfId="14692" xr:uid="{00000000-0005-0000-0000-000064390000}"/>
    <cellStyle name="Normal 178 2 3 2" xfId="14693" xr:uid="{00000000-0005-0000-0000-000065390000}"/>
    <cellStyle name="Normal 178 2 3 2 2" xfId="14694" xr:uid="{00000000-0005-0000-0000-000066390000}"/>
    <cellStyle name="Normal 178 2 3 3" xfId="14695" xr:uid="{00000000-0005-0000-0000-000067390000}"/>
    <cellStyle name="Normal 178 2 4" xfId="14696" xr:uid="{00000000-0005-0000-0000-000068390000}"/>
    <cellStyle name="Normal 178 2 4 2" xfId="14697" xr:uid="{00000000-0005-0000-0000-000069390000}"/>
    <cellStyle name="Normal 178 2 4 2 2" xfId="14698" xr:uid="{00000000-0005-0000-0000-00006A390000}"/>
    <cellStyle name="Normal 178 2 4 3" xfId="14699" xr:uid="{00000000-0005-0000-0000-00006B390000}"/>
    <cellStyle name="Normal 178 2 5" xfId="14700" xr:uid="{00000000-0005-0000-0000-00006C390000}"/>
    <cellStyle name="Normal 178 3" xfId="14701" xr:uid="{00000000-0005-0000-0000-00006D390000}"/>
    <cellStyle name="Normal 178 3 2" xfId="14702" xr:uid="{00000000-0005-0000-0000-00006E390000}"/>
    <cellStyle name="Normal 178 3 2 2" xfId="14703" xr:uid="{00000000-0005-0000-0000-00006F390000}"/>
    <cellStyle name="Normal 178 3 2 2 2" xfId="14704" xr:uid="{00000000-0005-0000-0000-000070390000}"/>
    <cellStyle name="Normal 178 3 2 3" xfId="14705" xr:uid="{00000000-0005-0000-0000-000071390000}"/>
    <cellStyle name="Normal 178 3 2 3 2" xfId="14706" xr:uid="{00000000-0005-0000-0000-000072390000}"/>
    <cellStyle name="Normal 178 3 2 3 2 2" xfId="14707" xr:uid="{00000000-0005-0000-0000-000073390000}"/>
    <cellStyle name="Normal 178 3 2 3 3" xfId="14708" xr:uid="{00000000-0005-0000-0000-000074390000}"/>
    <cellStyle name="Normal 178 3 2 4" xfId="14709" xr:uid="{00000000-0005-0000-0000-000075390000}"/>
    <cellStyle name="Normal 178 3 3" xfId="14710" xr:uid="{00000000-0005-0000-0000-000076390000}"/>
    <cellStyle name="Normal 178 3 3 2" xfId="14711" xr:uid="{00000000-0005-0000-0000-000077390000}"/>
    <cellStyle name="Normal 178 3 3 2 2" xfId="14712" xr:uid="{00000000-0005-0000-0000-000078390000}"/>
    <cellStyle name="Normal 178 3 3 3" xfId="14713" xr:uid="{00000000-0005-0000-0000-000079390000}"/>
    <cellStyle name="Normal 178 3 4" xfId="14714" xr:uid="{00000000-0005-0000-0000-00007A390000}"/>
    <cellStyle name="Normal 178 3 4 2" xfId="14715" xr:uid="{00000000-0005-0000-0000-00007B390000}"/>
    <cellStyle name="Normal 178 3 4 2 2" xfId="14716" xr:uid="{00000000-0005-0000-0000-00007C390000}"/>
    <cellStyle name="Normal 178 3 4 3" xfId="14717" xr:uid="{00000000-0005-0000-0000-00007D390000}"/>
    <cellStyle name="Normal 178 3 5" xfId="14718" xr:uid="{00000000-0005-0000-0000-00007E390000}"/>
    <cellStyle name="Normal 178 3 5 2" xfId="14719" xr:uid="{00000000-0005-0000-0000-00007F390000}"/>
    <cellStyle name="Normal 178 3 5 2 2" xfId="14720" xr:uid="{00000000-0005-0000-0000-000080390000}"/>
    <cellStyle name="Normal 178 3 5 3" xfId="14721" xr:uid="{00000000-0005-0000-0000-000081390000}"/>
    <cellStyle name="Normal 178 3 6" xfId="14722" xr:uid="{00000000-0005-0000-0000-000082390000}"/>
    <cellStyle name="Normal 178 4" xfId="14723" xr:uid="{00000000-0005-0000-0000-000083390000}"/>
    <cellStyle name="Normal 178 4 2" xfId="14724" xr:uid="{00000000-0005-0000-0000-000084390000}"/>
    <cellStyle name="Normal 178 4 2 2" xfId="14725" xr:uid="{00000000-0005-0000-0000-000085390000}"/>
    <cellStyle name="Normal 178 4 3" xfId="14726" xr:uid="{00000000-0005-0000-0000-000086390000}"/>
    <cellStyle name="Normal 178 5" xfId="14727" xr:uid="{00000000-0005-0000-0000-000087390000}"/>
    <cellStyle name="Normal 178 5 2" xfId="14728" xr:uid="{00000000-0005-0000-0000-000088390000}"/>
    <cellStyle name="Normal 178 5 2 2" xfId="14729" xr:uid="{00000000-0005-0000-0000-000089390000}"/>
    <cellStyle name="Normal 178 5 3" xfId="14730" xr:uid="{00000000-0005-0000-0000-00008A390000}"/>
    <cellStyle name="Normal 178 6" xfId="14731" xr:uid="{00000000-0005-0000-0000-00008B390000}"/>
    <cellStyle name="Normal 178 6 2" xfId="14732" xr:uid="{00000000-0005-0000-0000-00008C390000}"/>
    <cellStyle name="Normal 178 6 2 2" xfId="14733" xr:uid="{00000000-0005-0000-0000-00008D390000}"/>
    <cellStyle name="Normal 178 6 3" xfId="14734" xr:uid="{00000000-0005-0000-0000-00008E390000}"/>
    <cellStyle name="Normal 178 7" xfId="14735" xr:uid="{00000000-0005-0000-0000-00008F390000}"/>
    <cellStyle name="Normal 179" xfId="14736" xr:uid="{00000000-0005-0000-0000-000090390000}"/>
    <cellStyle name="Normal 179 2" xfId="14737" xr:uid="{00000000-0005-0000-0000-000091390000}"/>
    <cellStyle name="Normal 179 2 2" xfId="14738" xr:uid="{00000000-0005-0000-0000-000092390000}"/>
    <cellStyle name="Normal 179 2 2 2" xfId="14739" xr:uid="{00000000-0005-0000-0000-000093390000}"/>
    <cellStyle name="Normal 179 2 3" xfId="14740" xr:uid="{00000000-0005-0000-0000-000094390000}"/>
    <cellStyle name="Normal 179 2 3 2" xfId="14741" xr:uid="{00000000-0005-0000-0000-000095390000}"/>
    <cellStyle name="Normal 179 2 3 2 2" xfId="14742" xr:uid="{00000000-0005-0000-0000-000096390000}"/>
    <cellStyle name="Normal 179 2 3 3" xfId="14743" xr:uid="{00000000-0005-0000-0000-000097390000}"/>
    <cellStyle name="Normal 179 2 4" xfId="14744" xr:uid="{00000000-0005-0000-0000-000098390000}"/>
    <cellStyle name="Normal 179 2 4 2" xfId="14745" xr:uid="{00000000-0005-0000-0000-000099390000}"/>
    <cellStyle name="Normal 179 2 4 2 2" xfId="14746" xr:uid="{00000000-0005-0000-0000-00009A390000}"/>
    <cellStyle name="Normal 179 2 4 3" xfId="14747" xr:uid="{00000000-0005-0000-0000-00009B390000}"/>
    <cellStyle name="Normal 179 2 5" xfId="14748" xr:uid="{00000000-0005-0000-0000-00009C390000}"/>
    <cellStyle name="Normal 179 3" xfId="14749" xr:uid="{00000000-0005-0000-0000-00009D390000}"/>
    <cellStyle name="Normal 179 3 2" xfId="14750" xr:uid="{00000000-0005-0000-0000-00009E390000}"/>
    <cellStyle name="Normal 179 3 2 2" xfId="14751" xr:uid="{00000000-0005-0000-0000-00009F390000}"/>
    <cellStyle name="Normal 179 3 2 2 2" xfId="14752" xr:uid="{00000000-0005-0000-0000-0000A0390000}"/>
    <cellStyle name="Normal 179 3 2 3" xfId="14753" xr:uid="{00000000-0005-0000-0000-0000A1390000}"/>
    <cellStyle name="Normal 179 3 2 3 2" xfId="14754" xr:uid="{00000000-0005-0000-0000-0000A2390000}"/>
    <cellStyle name="Normal 179 3 2 3 2 2" xfId="14755" xr:uid="{00000000-0005-0000-0000-0000A3390000}"/>
    <cellStyle name="Normal 179 3 2 3 3" xfId="14756" xr:uid="{00000000-0005-0000-0000-0000A4390000}"/>
    <cellStyle name="Normal 179 3 2 4" xfId="14757" xr:uid="{00000000-0005-0000-0000-0000A5390000}"/>
    <cellStyle name="Normal 179 3 3" xfId="14758" xr:uid="{00000000-0005-0000-0000-0000A6390000}"/>
    <cellStyle name="Normal 179 3 3 2" xfId="14759" xr:uid="{00000000-0005-0000-0000-0000A7390000}"/>
    <cellStyle name="Normal 179 3 3 2 2" xfId="14760" xr:uid="{00000000-0005-0000-0000-0000A8390000}"/>
    <cellStyle name="Normal 179 3 3 3" xfId="14761" xr:uid="{00000000-0005-0000-0000-0000A9390000}"/>
    <cellStyle name="Normal 179 3 4" xfId="14762" xr:uid="{00000000-0005-0000-0000-0000AA390000}"/>
    <cellStyle name="Normal 179 3 4 2" xfId="14763" xr:uid="{00000000-0005-0000-0000-0000AB390000}"/>
    <cellStyle name="Normal 179 3 4 2 2" xfId="14764" xr:uid="{00000000-0005-0000-0000-0000AC390000}"/>
    <cellStyle name="Normal 179 3 4 3" xfId="14765" xr:uid="{00000000-0005-0000-0000-0000AD390000}"/>
    <cellStyle name="Normal 179 3 5" xfId="14766" xr:uid="{00000000-0005-0000-0000-0000AE390000}"/>
    <cellStyle name="Normal 179 3 5 2" xfId="14767" xr:uid="{00000000-0005-0000-0000-0000AF390000}"/>
    <cellStyle name="Normal 179 3 5 2 2" xfId="14768" xr:uid="{00000000-0005-0000-0000-0000B0390000}"/>
    <cellStyle name="Normal 179 3 5 3" xfId="14769" xr:uid="{00000000-0005-0000-0000-0000B1390000}"/>
    <cellStyle name="Normal 179 3 6" xfId="14770" xr:uid="{00000000-0005-0000-0000-0000B2390000}"/>
    <cellStyle name="Normal 179 4" xfId="14771" xr:uid="{00000000-0005-0000-0000-0000B3390000}"/>
    <cellStyle name="Normal 179 4 2" xfId="14772" xr:uid="{00000000-0005-0000-0000-0000B4390000}"/>
    <cellStyle name="Normal 179 4 2 2" xfId="14773" xr:uid="{00000000-0005-0000-0000-0000B5390000}"/>
    <cellStyle name="Normal 179 4 3" xfId="14774" xr:uid="{00000000-0005-0000-0000-0000B6390000}"/>
    <cellStyle name="Normal 179 5" xfId="14775" xr:uid="{00000000-0005-0000-0000-0000B7390000}"/>
    <cellStyle name="Normal 179 5 2" xfId="14776" xr:uid="{00000000-0005-0000-0000-0000B8390000}"/>
    <cellStyle name="Normal 179 5 2 2" xfId="14777" xr:uid="{00000000-0005-0000-0000-0000B9390000}"/>
    <cellStyle name="Normal 179 5 3" xfId="14778" xr:uid="{00000000-0005-0000-0000-0000BA390000}"/>
    <cellStyle name="Normal 179 6" xfId="14779" xr:uid="{00000000-0005-0000-0000-0000BB390000}"/>
    <cellStyle name="Normal 179 6 2" xfId="14780" xr:uid="{00000000-0005-0000-0000-0000BC390000}"/>
    <cellStyle name="Normal 179 6 2 2" xfId="14781" xr:uid="{00000000-0005-0000-0000-0000BD390000}"/>
    <cellStyle name="Normal 179 6 3" xfId="14782" xr:uid="{00000000-0005-0000-0000-0000BE390000}"/>
    <cellStyle name="Normal 179 7" xfId="14783" xr:uid="{00000000-0005-0000-0000-0000BF390000}"/>
    <cellStyle name="Normal 18" xfId="14784" xr:uid="{00000000-0005-0000-0000-0000C0390000}"/>
    <cellStyle name="Normal 18 2" xfId="14785" xr:uid="{00000000-0005-0000-0000-0000C1390000}"/>
    <cellStyle name="Normal 18 2 2" xfId="14786" xr:uid="{00000000-0005-0000-0000-0000C2390000}"/>
    <cellStyle name="Normal 18 2 2 2" xfId="14787" xr:uid="{00000000-0005-0000-0000-0000C3390000}"/>
    <cellStyle name="Normal 18 2 2 2 2" xfId="14788" xr:uid="{00000000-0005-0000-0000-0000C4390000}"/>
    <cellStyle name="Normal 18 2 2 3" xfId="14789" xr:uid="{00000000-0005-0000-0000-0000C5390000}"/>
    <cellStyle name="Normal 18 2 2 3 2" xfId="14790" xr:uid="{00000000-0005-0000-0000-0000C6390000}"/>
    <cellStyle name="Normal 18 2 2 3 2 2" xfId="14791" xr:uid="{00000000-0005-0000-0000-0000C7390000}"/>
    <cellStyle name="Normal 18 2 2 3 3" xfId="14792" xr:uid="{00000000-0005-0000-0000-0000C8390000}"/>
    <cellStyle name="Normal 18 2 2 4" xfId="14793" xr:uid="{00000000-0005-0000-0000-0000C9390000}"/>
    <cellStyle name="Normal 18 2 2 4 2" xfId="14794" xr:uid="{00000000-0005-0000-0000-0000CA390000}"/>
    <cellStyle name="Normal 18 2 2 4 2 2" xfId="14795" xr:uid="{00000000-0005-0000-0000-0000CB390000}"/>
    <cellStyle name="Normal 18 2 2 4 3" xfId="14796" xr:uid="{00000000-0005-0000-0000-0000CC390000}"/>
    <cellStyle name="Normal 18 2 2 5" xfId="14797" xr:uid="{00000000-0005-0000-0000-0000CD390000}"/>
    <cellStyle name="Normal 18 2 3" xfId="14798" xr:uid="{00000000-0005-0000-0000-0000CE390000}"/>
    <cellStyle name="Normal 18 2 3 2" xfId="14799" xr:uid="{00000000-0005-0000-0000-0000CF390000}"/>
    <cellStyle name="Normal 18 2 3 2 2" xfId="14800" xr:uid="{00000000-0005-0000-0000-0000D0390000}"/>
    <cellStyle name="Normal 18 2 3 2 2 2" xfId="14801" xr:uid="{00000000-0005-0000-0000-0000D1390000}"/>
    <cellStyle name="Normal 18 2 3 2 3" xfId="14802" xr:uid="{00000000-0005-0000-0000-0000D2390000}"/>
    <cellStyle name="Normal 18 2 3 2 3 2" xfId="14803" xr:uid="{00000000-0005-0000-0000-0000D3390000}"/>
    <cellStyle name="Normal 18 2 3 2 3 2 2" xfId="14804" xr:uid="{00000000-0005-0000-0000-0000D4390000}"/>
    <cellStyle name="Normal 18 2 3 2 3 3" xfId="14805" xr:uid="{00000000-0005-0000-0000-0000D5390000}"/>
    <cellStyle name="Normal 18 2 3 2 4" xfId="14806" xr:uid="{00000000-0005-0000-0000-0000D6390000}"/>
    <cellStyle name="Normal 18 2 3 3" xfId="14807" xr:uid="{00000000-0005-0000-0000-0000D7390000}"/>
    <cellStyle name="Normal 18 2 3 3 2" xfId="14808" xr:uid="{00000000-0005-0000-0000-0000D8390000}"/>
    <cellStyle name="Normal 18 2 3 3 2 2" xfId="14809" xr:uid="{00000000-0005-0000-0000-0000D9390000}"/>
    <cellStyle name="Normal 18 2 3 3 3" xfId="14810" xr:uid="{00000000-0005-0000-0000-0000DA390000}"/>
    <cellStyle name="Normal 18 2 3 4" xfId="14811" xr:uid="{00000000-0005-0000-0000-0000DB390000}"/>
    <cellStyle name="Normal 18 2 3 4 2" xfId="14812" xr:uid="{00000000-0005-0000-0000-0000DC390000}"/>
    <cellStyle name="Normal 18 2 3 4 2 2" xfId="14813" xr:uid="{00000000-0005-0000-0000-0000DD390000}"/>
    <cellStyle name="Normal 18 2 3 4 3" xfId="14814" xr:uid="{00000000-0005-0000-0000-0000DE390000}"/>
    <cellStyle name="Normal 18 2 3 5" xfId="14815" xr:uid="{00000000-0005-0000-0000-0000DF390000}"/>
    <cellStyle name="Normal 18 2 3 5 2" xfId="14816" xr:uid="{00000000-0005-0000-0000-0000E0390000}"/>
    <cellStyle name="Normal 18 2 3 5 2 2" xfId="14817" xr:uid="{00000000-0005-0000-0000-0000E1390000}"/>
    <cellStyle name="Normal 18 2 3 5 3" xfId="14818" xr:uid="{00000000-0005-0000-0000-0000E2390000}"/>
    <cellStyle name="Normal 18 2 3 6" xfId="14819" xr:uid="{00000000-0005-0000-0000-0000E3390000}"/>
    <cellStyle name="Normal 18 2 4" xfId="14820" xr:uid="{00000000-0005-0000-0000-0000E4390000}"/>
    <cellStyle name="Normal 18 2 4 2" xfId="14821" xr:uid="{00000000-0005-0000-0000-0000E5390000}"/>
    <cellStyle name="Normal 18 2 4 2 2" xfId="14822" xr:uid="{00000000-0005-0000-0000-0000E6390000}"/>
    <cellStyle name="Normal 18 2 4 3" xfId="14823" xr:uid="{00000000-0005-0000-0000-0000E7390000}"/>
    <cellStyle name="Normal 18 2 5" xfId="14824" xr:uid="{00000000-0005-0000-0000-0000E8390000}"/>
    <cellStyle name="Normal 18 2 5 2" xfId="14825" xr:uid="{00000000-0005-0000-0000-0000E9390000}"/>
    <cellStyle name="Normal 18 2 5 2 2" xfId="14826" xr:uid="{00000000-0005-0000-0000-0000EA390000}"/>
    <cellStyle name="Normal 18 2 5 3" xfId="14827" xr:uid="{00000000-0005-0000-0000-0000EB390000}"/>
    <cellStyle name="Normal 18 2 6" xfId="14828" xr:uid="{00000000-0005-0000-0000-0000EC390000}"/>
    <cellStyle name="Normal 18 2 6 2" xfId="14829" xr:uid="{00000000-0005-0000-0000-0000ED390000}"/>
    <cellStyle name="Normal 18 2 6 2 2" xfId="14830" xr:uid="{00000000-0005-0000-0000-0000EE390000}"/>
    <cellStyle name="Normal 18 2 6 3" xfId="14831" xr:uid="{00000000-0005-0000-0000-0000EF390000}"/>
    <cellStyle name="Normal 18 2 7" xfId="14832" xr:uid="{00000000-0005-0000-0000-0000F0390000}"/>
    <cellStyle name="Normal 18 3" xfId="14833" xr:uid="{00000000-0005-0000-0000-0000F1390000}"/>
    <cellStyle name="Normal 18 3 2" xfId="14834" xr:uid="{00000000-0005-0000-0000-0000F2390000}"/>
    <cellStyle name="Normal 18 3 2 2" xfId="14835" xr:uid="{00000000-0005-0000-0000-0000F3390000}"/>
    <cellStyle name="Normal 18 3 2 2 2" xfId="14836" xr:uid="{00000000-0005-0000-0000-0000F4390000}"/>
    <cellStyle name="Normal 18 3 2 3" xfId="14837" xr:uid="{00000000-0005-0000-0000-0000F5390000}"/>
    <cellStyle name="Normal 18 3 2 3 2" xfId="14838" xr:uid="{00000000-0005-0000-0000-0000F6390000}"/>
    <cellStyle name="Normal 18 3 2 3 2 2" xfId="14839" xr:uid="{00000000-0005-0000-0000-0000F7390000}"/>
    <cellStyle name="Normal 18 3 2 3 3" xfId="14840" xr:uid="{00000000-0005-0000-0000-0000F8390000}"/>
    <cellStyle name="Normal 18 3 2 4" xfId="14841" xr:uid="{00000000-0005-0000-0000-0000F9390000}"/>
    <cellStyle name="Normal 18 3 2 4 2" xfId="14842" xr:uid="{00000000-0005-0000-0000-0000FA390000}"/>
    <cellStyle name="Normal 18 3 2 4 2 2" xfId="14843" xr:uid="{00000000-0005-0000-0000-0000FB390000}"/>
    <cellStyle name="Normal 18 3 2 4 3" xfId="14844" xr:uid="{00000000-0005-0000-0000-0000FC390000}"/>
    <cellStyle name="Normal 18 3 2 5" xfId="14845" xr:uid="{00000000-0005-0000-0000-0000FD390000}"/>
    <cellStyle name="Normal 18 3 3" xfId="14846" xr:uid="{00000000-0005-0000-0000-0000FE390000}"/>
    <cellStyle name="Normal 18 3 3 2" xfId="14847" xr:uid="{00000000-0005-0000-0000-0000FF390000}"/>
    <cellStyle name="Normal 18 3 3 2 2" xfId="14848" xr:uid="{00000000-0005-0000-0000-0000003A0000}"/>
    <cellStyle name="Normal 18 3 3 3" xfId="14849" xr:uid="{00000000-0005-0000-0000-0000013A0000}"/>
    <cellStyle name="Normal 18 3 4" xfId="14850" xr:uid="{00000000-0005-0000-0000-0000023A0000}"/>
    <cellStyle name="Normal 18 3 4 2" xfId="14851" xr:uid="{00000000-0005-0000-0000-0000033A0000}"/>
    <cellStyle name="Normal 18 3 4 2 2" xfId="14852" xr:uid="{00000000-0005-0000-0000-0000043A0000}"/>
    <cellStyle name="Normal 18 3 4 3" xfId="14853" xr:uid="{00000000-0005-0000-0000-0000053A0000}"/>
    <cellStyle name="Normal 18 3 5" xfId="14854" xr:uid="{00000000-0005-0000-0000-0000063A0000}"/>
    <cellStyle name="Normal 18 3 5 2" xfId="14855" xr:uid="{00000000-0005-0000-0000-0000073A0000}"/>
    <cellStyle name="Normal 18 3 5 2 2" xfId="14856" xr:uid="{00000000-0005-0000-0000-0000083A0000}"/>
    <cellStyle name="Normal 18 3 5 3" xfId="14857" xr:uid="{00000000-0005-0000-0000-0000093A0000}"/>
    <cellStyle name="Normal 18 3 6" xfId="14858" xr:uid="{00000000-0005-0000-0000-00000A3A0000}"/>
    <cellStyle name="Normal 18 4" xfId="14859" xr:uid="{00000000-0005-0000-0000-00000B3A0000}"/>
    <cellStyle name="Normal 18 4 2" xfId="14860" xr:uid="{00000000-0005-0000-0000-00000C3A0000}"/>
    <cellStyle name="Normal 18 4 2 2" xfId="14861" xr:uid="{00000000-0005-0000-0000-00000D3A0000}"/>
    <cellStyle name="Normal 18 4 3" xfId="14862" xr:uid="{00000000-0005-0000-0000-00000E3A0000}"/>
    <cellStyle name="Normal 18 4 3 2" xfId="14863" xr:uid="{00000000-0005-0000-0000-00000F3A0000}"/>
    <cellStyle name="Normal 18 4 3 2 2" xfId="14864" xr:uid="{00000000-0005-0000-0000-0000103A0000}"/>
    <cellStyle name="Normal 18 4 3 3" xfId="14865" xr:uid="{00000000-0005-0000-0000-0000113A0000}"/>
    <cellStyle name="Normal 18 4 4" xfId="14866" xr:uid="{00000000-0005-0000-0000-0000123A0000}"/>
    <cellStyle name="Normal 18 4 4 2" xfId="14867" xr:uid="{00000000-0005-0000-0000-0000133A0000}"/>
    <cellStyle name="Normal 18 4 4 2 2" xfId="14868" xr:uid="{00000000-0005-0000-0000-0000143A0000}"/>
    <cellStyle name="Normal 18 4 4 3" xfId="14869" xr:uid="{00000000-0005-0000-0000-0000153A0000}"/>
    <cellStyle name="Normal 18 4 5" xfId="14870" xr:uid="{00000000-0005-0000-0000-0000163A0000}"/>
    <cellStyle name="Normal 18 5" xfId="14871" xr:uid="{00000000-0005-0000-0000-0000173A0000}"/>
    <cellStyle name="Normal 18 5 2" xfId="14872" xr:uid="{00000000-0005-0000-0000-0000183A0000}"/>
    <cellStyle name="Normal 18 5 2 2" xfId="14873" xr:uid="{00000000-0005-0000-0000-0000193A0000}"/>
    <cellStyle name="Normal 18 5 2 2 2" xfId="14874" xr:uid="{00000000-0005-0000-0000-00001A3A0000}"/>
    <cellStyle name="Normal 18 5 2 3" xfId="14875" xr:uid="{00000000-0005-0000-0000-00001B3A0000}"/>
    <cellStyle name="Normal 18 5 2 3 2" xfId="14876" xr:uid="{00000000-0005-0000-0000-00001C3A0000}"/>
    <cellStyle name="Normal 18 5 2 3 2 2" xfId="14877" xr:uid="{00000000-0005-0000-0000-00001D3A0000}"/>
    <cellStyle name="Normal 18 5 2 3 3" xfId="14878" xr:uid="{00000000-0005-0000-0000-00001E3A0000}"/>
    <cellStyle name="Normal 18 5 2 4" xfId="14879" xr:uid="{00000000-0005-0000-0000-00001F3A0000}"/>
    <cellStyle name="Normal 18 5 3" xfId="14880" xr:uid="{00000000-0005-0000-0000-0000203A0000}"/>
    <cellStyle name="Normal 18 5 3 2" xfId="14881" xr:uid="{00000000-0005-0000-0000-0000213A0000}"/>
    <cellStyle name="Normal 18 5 3 2 2" xfId="14882" xr:uid="{00000000-0005-0000-0000-0000223A0000}"/>
    <cellStyle name="Normal 18 5 3 3" xfId="14883" xr:uid="{00000000-0005-0000-0000-0000233A0000}"/>
    <cellStyle name="Normal 18 5 4" xfId="14884" xr:uid="{00000000-0005-0000-0000-0000243A0000}"/>
    <cellStyle name="Normal 18 5 4 2" xfId="14885" xr:uid="{00000000-0005-0000-0000-0000253A0000}"/>
    <cellStyle name="Normal 18 5 4 2 2" xfId="14886" xr:uid="{00000000-0005-0000-0000-0000263A0000}"/>
    <cellStyle name="Normal 18 5 4 3" xfId="14887" xr:uid="{00000000-0005-0000-0000-0000273A0000}"/>
    <cellStyle name="Normal 18 5 5" xfId="14888" xr:uid="{00000000-0005-0000-0000-0000283A0000}"/>
    <cellStyle name="Normal 18 5 5 2" xfId="14889" xr:uid="{00000000-0005-0000-0000-0000293A0000}"/>
    <cellStyle name="Normal 18 5 5 2 2" xfId="14890" xr:uid="{00000000-0005-0000-0000-00002A3A0000}"/>
    <cellStyle name="Normal 18 5 5 3" xfId="14891" xr:uid="{00000000-0005-0000-0000-00002B3A0000}"/>
    <cellStyle name="Normal 18 5 6" xfId="14892" xr:uid="{00000000-0005-0000-0000-00002C3A0000}"/>
    <cellStyle name="Normal 18 6" xfId="14893" xr:uid="{00000000-0005-0000-0000-00002D3A0000}"/>
    <cellStyle name="Normal 18 7" xfId="14894" xr:uid="{00000000-0005-0000-0000-00002E3A0000}"/>
    <cellStyle name="Normal 180" xfId="14895" xr:uid="{00000000-0005-0000-0000-00002F3A0000}"/>
    <cellStyle name="Normal 180 2" xfId="14896" xr:uid="{00000000-0005-0000-0000-0000303A0000}"/>
    <cellStyle name="Normal 180 2 2" xfId="14897" xr:uid="{00000000-0005-0000-0000-0000313A0000}"/>
    <cellStyle name="Normal 180 2 2 2" xfId="14898" xr:uid="{00000000-0005-0000-0000-0000323A0000}"/>
    <cellStyle name="Normal 180 2 3" xfId="14899" xr:uid="{00000000-0005-0000-0000-0000333A0000}"/>
    <cellStyle name="Normal 180 2 3 2" xfId="14900" xr:uid="{00000000-0005-0000-0000-0000343A0000}"/>
    <cellStyle name="Normal 180 2 3 2 2" xfId="14901" xr:uid="{00000000-0005-0000-0000-0000353A0000}"/>
    <cellStyle name="Normal 180 2 3 3" xfId="14902" xr:uid="{00000000-0005-0000-0000-0000363A0000}"/>
    <cellStyle name="Normal 180 2 4" xfId="14903" xr:uid="{00000000-0005-0000-0000-0000373A0000}"/>
    <cellStyle name="Normal 180 2 4 2" xfId="14904" xr:uid="{00000000-0005-0000-0000-0000383A0000}"/>
    <cellStyle name="Normal 180 2 4 2 2" xfId="14905" xr:uid="{00000000-0005-0000-0000-0000393A0000}"/>
    <cellStyle name="Normal 180 2 4 3" xfId="14906" xr:uid="{00000000-0005-0000-0000-00003A3A0000}"/>
    <cellStyle name="Normal 180 2 5" xfId="14907" xr:uid="{00000000-0005-0000-0000-00003B3A0000}"/>
    <cellStyle name="Normal 180 3" xfId="14908" xr:uid="{00000000-0005-0000-0000-00003C3A0000}"/>
    <cellStyle name="Normal 180 3 2" xfId="14909" xr:uid="{00000000-0005-0000-0000-00003D3A0000}"/>
    <cellStyle name="Normal 180 3 2 2" xfId="14910" xr:uid="{00000000-0005-0000-0000-00003E3A0000}"/>
    <cellStyle name="Normal 180 3 2 2 2" xfId="14911" xr:uid="{00000000-0005-0000-0000-00003F3A0000}"/>
    <cellStyle name="Normal 180 3 2 3" xfId="14912" xr:uid="{00000000-0005-0000-0000-0000403A0000}"/>
    <cellStyle name="Normal 180 3 2 3 2" xfId="14913" xr:uid="{00000000-0005-0000-0000-0000413A0000}"/>
    <cellStyle name="Normal 180 3 2 3 2 2" xfId="14914" xr:uid="{00000000-0005-0000-0000-0000423A0000}"/>
    <cellStyle name="Normal 180 3 2 3 3" xfId="14915" xr:uid="{00000000-0005-0000-0000-0000433A0000}"/>
    <cellStyle name="Normal 180 3 2 4" xfId="14916" xr:uid="{00000000-0005-0000-0000-0000443A0000}"/>
    <cellStyle name="Normal 180 3 3" xfId="14917" xr:uid="{00000000-0005-0000-0000-0000453A0000}"/>
    <cellStyle name="Normal 180 3 3 2" xfId="14918" xr:uid="{00000000-0005-0000-0000-0000463A0000}"/>
    <cellStyle name="Normal 180 3 3 2 2" xfId="14919" xr:uid="{00000000-0005-0000-0000-0000473A0000}"/>
    <cellStyle name="Normal 180 3 3 3" xfId="14920" xr:uid="{00000000-0005-0000-0000-0000483A0000}"/>
    <cellStyle name="Normal 180 3 4" xfId="14921" xr:uid="{00000000-0005-0000-0000-0000493A0000}"/>
    <cellStyle name="Normal 180 3 4 2" xfId="14922" xr:uid="{00000000-0005-0000-0000-00004A3A0000}"/>
    <cellStyle name="Normal 180 3 4 2 2" xfId="14923" xr:uid="{00000000-0005-0000-0000-00004B3A0000}"/>
    <cellStyle name="Normal 180 3 4 3" xfId="14924" xr:uid="{00000000-0005-0000-0000-00004C3A0000}"/>
    <cellStyle name="Normal 180 3 5" xfId="14925" xr:uid="{00000000-0005-0000-0000-00004D3A0000}"/>
    <cellStyle name="Normal 180 3 5 2" xfId="14926" xr:uid="{00000000-0005-0000-0000-00004E3A0000}"/>
    <cellStyle name="Normal 180 3 5 2 2" xfId="14927" xr:uid="{00000000-0005-0000-0000-00004F3A0000}"/>
    <cellStyle name="Normal 180 3 5 3" xfId="14928" xr:uid="{00000000-0005-0000-0000-0000503A0000}"/>
    <cellStyle name="Normal 180 3 6" xfId="14929" xr:uid="{00000000-0005-0000-0000-0000513A0000}"/>
    <cellStyle name="Normal 180 4" xfId="14930" xr:uid="{00000000-0005-0000-0000-0000523A0000}"/>
    <cellStyle name="Normal 180 4 2" xfId="14931" xr:uid="{00000000-0005-0000-0000-0000533A0000}"/>
    <cellStyle name="Normal 180 4 2 2" xfId="14932" xr:uid="{00000000-0005-0000-0000-0000543A0000}"/>
    <cellStyle name="Normal 180 4 3" xfId="14933" xr:uid="{00000000-0005-0000-0000-0000553A0000}"/>
    <cellStyle name="Normal 180 5" xfId="14934" xr:uid="{00000000-0005-0000-0000-0000563A0000}"/>
    <cellStyle name="Normal 180 5 2" xfId="14935" xr:uid="{00000000-0005-0000-0000-0000573A0000}"/>
    <cellStyle name="Normal 180 5 2 2" xfId="14936" xr:uid="{00000000-0005-0000-0000-0000583A0000}"/>
    <cellStyle name="Normal 180 5 3" xfId="14937" xr:uid="{00000000-0005-0000-0000-0000593A0000}"/>
    <cellStyle name="Normal 180 6" xfId="14938" xr:uid="{00000000-0005-0000-0000-00005A3A0000}"/>
    <cellStyle name="Normal 180 6 2" xfId="14939" xr:uid="{00000000-0005-0000-0000-00005B3A0000}"/>
    <cellStyle name="Normal 180 6 2 2" xfId="14940" xr:uid="{00000000-0005-0000-0000-00005C3A0000}"/>
    <cellStyle name="Normal 180 6 3" xfId="14941" xr:uid="{00000000-0005-0000-0000-00005D3A0000}"/>
    <cellStyle name="Normal 180 7" xfId="14942" xr:uid="{00000000-0005-0000-0000-00005E3A0000}"/>
    <cellStyle name="Normal 181" xfId="14943" xr:uid="{00000000-0005-0000-0000-00005F3A0000}"/>
    <cellStyle name="Normal 181 2" xfId="14944" xr:uid="{00000000-0005-0000-0000-0000603A0000}"/>
    <cellStyle name="Normal 181 2 2" xfId="14945" xr:uid="{00000000-0005-0000-0000-0000613A0000}"/>
    <cellStyle name="Normal 181 2 2 2" xfId="14946" xr:uid="{00000000-0005-0000-0000-0000623A0000}"/>
    <cellStyle name="Normal 181 2 3" xfId="14947" xr:uid="{00000000-0005-0000-0000-0000633A0000}"/>
    <cellStyle name="Normal 181 2 3 2" xfId="14948" xr:uid="{00000000-0005-0000-0000-0000643A0000}"/>
    <cellStyle name="Normal 181 2 3 2 2" xfId="14949" xr:uid="{00000000-0005-0000-0000-0000653A0000}"/>
    <cellStyle name="Normal 181 2 3 3" xfId="14950" xr:uid="{00000000-0005-0000-0000-0000663A0000}"/>
    <cellStyle name="Normal 181 2 4" xfId="14951" xr:uid="{00000000-0005-0000-0000-0000673A0000}"/>
    <cellStyle name="Normal 181 2 4 2" xfId="14952" xr:uid="{00000000-0005-0000-0000-0000683A0000}"/>
    <cellStyle name="Normal 181 2 4 2 2" xfId="14953" xr:uid="{00000000-0005-0000-0000-0000693A0000}"/>
    <cellStyle name="Normal 181 2 4 3" xfId="14954" xr:uid="{00000000-0005-0000-0000-00006A3A0000}"/>
    <cellStyle name="Normal 181 2 5" xfId="14955" xr:uid="{00000000-0005-0000-0000-00006B3A0000}"/>
    <cellStyle name="Normal 181 3" xfId="14956" xr:uid="{00000000-0005-0000-0000-00006C3A0000}"/>
    <cellStyle name="Normal 181 3 2" xfId="14957" xr:uid="{00000000-0005-0000-0000-00006D3A0000}"/>
    <cellStyle name="Normal 181 3 2 2" xfId="14958" xr:uid="{00000000-0005-0000-0000-00006E3A0000}"/>
    <cellStyle name="Normal 181 3 2 2 2" xfId="14959" xr:uid="{00000000-0005-0000-0000-00006F3A0000}"/>
    <cellStyle name="Normal 181 3 2 3" xfId="14960" xr:uid="{00000000-0005-0000-0000-0000703A0000}"/>
    <cellStyle name="Normal 181 3 2 3 2" xfId="14961" xr:uid="{00000000-0005-0000-0000-0000713A0000}"/>
    <cellStyle name="Normal 181 3 2 3 2 2" xfId="14962" xr:uid="{00000000-0005-0000-0000-0000723A0000}"/>
    <cellStyle name="Normal 181 3 2 3 3" xfId="14963" xr:uid="{00000000-0005-0000-0000-0000733A0000}"/>
    <cellStyle name="Normal 181 3 2 4" xfId="14964" xr:uid="{00000000-0005-0000-0000-0000743A0000}"/>
    <cellStyle name="Normal 181 3 3" xfId="14965" xr:uid="{00000000-0005-0000-0000-0000753A0000}"/>
    <cellStyle name="Normal 181 3 3 2" xfId="14966" xr:uid="{00000000-0005-0000-0000-0000763A0000}"/>
    <cellStyle name="Normal 181 3 3 2 2" xfId="14967" xr:uid="{00000000-0005-0000-0000-0000773A0000}"/>
    <cellStyle name="Normal 181 3 3 3" xfId="14968" xr:uid="{00000000-0005-0000-0000-0000783A0000}"/>
    <cellStyle name="Normal 181 3 4" xfId="14969" xr:uid="{00000000-0005-0000-0000-0000793A0000}"/>
    <cellStyle name="Normal 181 3 4 2" xfId="14970" xr:uid="{00000000-0005-0000-0000-00007A3A0000}"/>
    <cellStyle name="Normal 181 3 4 2 2" xfId="14971" xr:uid="{00000000-0005-0000-0000-00007B3A0000}"/>
    <cellStyle name="Normal 181 3 4 3" xfId="14972" xr:uid="{00000000-0005-0000-0000-00007C3A0000}"/>
    <cellStyle name="Normal 181 3 5" xfId="14973" xr:uid="{00000000-0005-0000-0000-00007D3A0000}"/>
    <cellStyle name="Normal 181 3 5 2" xfId="14974" xr:uid="{00000000-0005-0000-0000-00007E3A0000}"/>
    <cellStyle name="Normal 181 3 5 2 2" xfId="14975" xr:uid="{00000000-0005-0000-0000-00007F3A0000}"/>
    <cellStyle name="Normal 181 3 5 3" xfId="14976" xr:uid="{00000000-0005-0000-0000-0000803A0000}"/>
    <cellStyle name="Normal 181 3 6" xfId="14977" xr:uid="{00000000-0005-0000-0000-0000813A0000}"/>
    <cellStyle name="Normal 181 4" xfId="14978" xr:uid="{00000000-0005-0000-0000-0000823A0000}"/>
    <cellStyle name="Normal 181 4 2" xfId="14979" xr:uid="{00000000-0005-0000-0000-0000833A0000}"/>
    <cellStyle name="Normal 181 4 2 2" xfId="14980" xr:uid="{00000000-0005-0000-0000-0000843A0000}"/>
    <cellStyle name="Normal 181 4 3" xfId="14981" xr:uid="{00000000-0005-0000-0000-0000853A0000}"/>
    <cellStyle name="Normal 181 5" xfId="14982" xr:uid="{00000000-0005-0000-0000-0000863A0000}"/>
    <cellStyle name="Normal 181 5 2" xfId="14983" xr:uid="{00000000-0005-0000-0000-0000873A0000}"/>
    <cellStyle name="Normal 181 5 2 2" xfId="14984" xr:uid="{00000000-0005-0000-0000-0000883A0000}"/>
    <cellStyle name="Normal 181 5 3" xfId="14985" xr:uid="{00000000-0005-0000-0000-0000893A0000}"/>
    <cellStyle name="Normal 181 6" xfId="14986" xr:uid="{00000000-0005-0000-0000-00008A3A0000}"/>
    <cellStyle name="Normal 181 6 2" xfId="14987" xr:uid="{00000000-0005-0000-0000-00008B3A0000}"/>
    <cellStyle name="Normal 181 6 2 2" xfId="14988" xr:uid="{00000000-0005-0000-0000-00008C3A0000}"/>
    <cellStyle name="Normal 181 6 3" xfId="14989" xr:uid="{00000000-0005-0000-0000-00008D3A0000}"/>
    <cellStyle name="Normal 181 7" xfId="14990" xr:uid="{00000000-0005-0000-0000-00008E3A0000}"/>
    <cellStyle name="Normal 182" xfId="14991" xr:uid="{00000000-0005-0000-0000-00008F3A0000}"/>
    <cellStyle name="Normal 182 2" xfId="14992" xr:uid="{00000000-0005-0000-0000-0000903A0000}"/>
    <cellStyle name="Normal 182 2 2" xfId="14993" xr:uid="{00000000-0005-0000-0000-0000913A0000}"/>
    <cellStyle name="Normal 182 2 2 2" xfId="14994" xr:uid="{00000000-0005-0000-0000-0000923A0000}"/>
    <cellStyle name="Normal 182 2 3" xfId="14995" xr:uid="{00000000-0005-0000-0000-0000933A0000}"/>
    <cellStyle name="Normal 182 2 3 2" xfId="14996" xr:uid="{00000000-0005-0000-0000-0000943A0000}"/>
    <cellStyle name="Normal 182 2 3 2 2" xfId="14997" xr:uid="{00000000-0005-0000-0000-0000953A0000}"/>
    <cellStyle name="Normal 182 2 3 3" xfId="14998" xr:uid="{00000000-0005-0000-0000-0000963A0000}"/>
    <cellStyle name="Normal 182 2 4" xfId="14999" xr:uid="{00000000-0005-0000-0000-0000973A0000}"/>
    <cellStyle name="Normal 182 2 4 2" xfId="15000" xr:uid="{00000000-0005-0000-0000-0000983A0000}"/>
    <cellStyle name="Normal 182 2 4 2 2" xfId="15001" xr:uid="{00000000-0005-0000-0000-0000993A0000}"/>
    <cellStyle name="Normal 182 2 4 3" xfId="15002" xr:uid="{00000000-0005-0000-0000-00009A3A0000}"/>
    <cellStyle name="Normal 182 2 5" xfId="15003" xr:uid="{00000000-0005-0000-0000-00009B3A0000}"/>
    <cellStyle name="Normal 182 3" xfId="15004" xr:uid="{00000000-0005-0000-0000-00009C3A0000}"/>
    <cellStyle name="Normal 182 3 2" xfId="15005" xr:uid="{00000000-0005-0000-0000-00009D3A0000}"/>
    <cellStyle name="Normal 182 3 2 2" xfId="15006" xr:uid="{00000000-0005-0000-0000-00009E3A0000}"/>
    <cellStyle name="Normal 182 3 2 2 2" xfId="15007" xr:uid="{00000000-0005-0000-0000-00009F3A0000}"/>
    <cellStyle name="Normal 182 3 2 3" xfId="15008" xr:uid="{00000000-0005-0000-0000-0000A03A0000}"/>
    <cellStyle name="Normal 182 3 2 3 2" xfId="15009" xr:uid="{00000000-0005-0000-0000-0000A13A0000}"/>
    <cellStyle name="Normal 182 3 2 3 2 2" xfId="15010" xr:uid="{00000000-0005-0000-0000-0000A23A0000}"/>
    <cellStyle name="Normal 182 3 2 3 3" xfId="15011" xr:uid="{00000000-0005-0000-0000-0000A33A0000}"/>
    <cellStyle name="Normal 182 3 2 4" xfId="15012" xr:uid="{00000000-0005-0000-0000-0000A43A0000}"/>
    <cellStyle name="Normal 182 3 3" xfId="15013" xr:uid="{00000000-0005-0000-0000-0000A53A0000}"/>
    <cellStyle name="Normal 182 3 3 2" xfId="15014" xr:uid="{00000000-0005-0000-0000-0000A63A0000}"/>
    <cellStyle name="Normal 182 3 3 2 2" xfId="15015" xr:uid="{00000000-0005-0000-0000-0000A73A0000}"/>
    <cellStyle name="Normal 182 3 3 3" xfId="15016" xr:uid="{00000000-0005-0000-0000-0000A83A0000}"/>
    <cellStyle name="Normal 182 3 4" xfId="15017" xr:uid="{00000000-0005-0000-0000-0000A93A0000}"/>
    <cellStyle name="Normal 182 3 4 2" xfId="15018" xr:uid="{00000000-0005-0000-0000-0000AA3A0000}"/>
    <cellStyle name="Normal 182 3 4 2 2" xfId="15019" xr:uid="{00000000-0005-0000-0000-0000AB3A0000}"/>
    <cellStyle name="Normal 182 3 4 3" xfId="15020" xr:uid="{00000000-0005-0000-0000-0000AC3A0000}"/>
    <cellStyle name="Normal 182 3 5" xfId="15021" xr:uid="{00000000-0005-0000-0000-0000AD3A0000}"/>
    <cellStyle name="Normal 182 3 5 2" xfId="15022" xr:uid="{00000000-0005-0000-0000-0000AE3A0000}"/>
    <cellStyle name="Normal 182 3 5 2 2" xfId="15023" xr:uid="{00000000-0005-0000-0000-0000AF3A0000}"/>
    <cellStyle name="Normal 182 3 5 3" xfId="15024" xr:uid="{00000000-0005-0000-0000-0000B03A0000}"/>
    <cellStyle name="Normal 182 3 6" xfId="15025" xr:uid="{00000000-0005-0000-0000-0000B13A0000}"/>
    <cellStyle name="Normal 182 4" xfId="15026" xr:uid="{00000000-0005-0000-0000-0000B23A0000}"/>
    <cellStyle name="Normal 182 4 2" xfId="15027" xr:uid="{00000000-0005-0000-0000-0000B33A0000}"/>
    <cellStyle name="Normal 182 4 2 2" xfId="15028" xr:uid="{00000000-0005-0000-0000-0000B43A0000}"/>
    <cellStyle name="Normal 182 4 3" xfId="15029" xr:uid="{00000000-0005-0000-0000-0000B53A0000}"/>
    <cellStyle name="Normal 182 5" xfId="15030" xr:uid="{00000000-0005-0000-0000-0000B63A0000}"/>
    <cellStyle name="Normal 182 5 2" xfId="15031" xr:uid="{00000000-0005-0000-0000-0000B73A0000}"/>
    <cellStyle name="Normal 182 5 2 2" xfId="15032" xr:uid="{00000000-0005-0000-0000-0000B83A0000}"/>
    <cellStyle name="Normal 182 5 3" xfId="15033" xr:uid="{00000000-0005-0000-0000-0000B93A0000}"/>
    <cellStyle name="Normal 182 6" xfId="15034" xr:uid="{00000000-0005-0000-0000-0000BA3A0000}"/>
    <cellStyle name="Normal 182 6 2" xfId="15035" xr:uid="{00000000-0005-0000-0000-0000BB3A0000}"/>
    <cellStyle name="Normal 182 6 2 2" xfId="15036" xr:uid="{00000000-0005-0000-0000-0000BC3A0000}"/>
    <cellStyle name="Normal 182 6 3" xfId="15037" xr:uid="{00000000-0005-0000-0000-0000BD3A0000}"/>
    <cellStyle name="Normal 182 7" xfId="15038" xr:uid="{00000000-0005-0000-0000-0000BE3A0000}"/>
    <cellStyle name="Normal 183" xfId="15039" xr:uid="{00000000-0005-0000-0000-0000BF3A0000}"/>
    <cellStyle name="Normal 183 2" xfId="15040" xr:uid="{00000000-0005-0000-0000-0000C03A0000}"/>
    <cellStyle name="Normal 183 2 2" xfId="15041" xr:uid="{00000000-0005-0000-0000-0000C13A0000}"/>
    <cellStyle name="Normal 183 2 2 2" xfId="15042" xr:uid="{00000000-0005-0000-0000-0000C23A0000}"/>
    <cellStyle name="Normal 183 2 3" xfId="15043" xr:uid="{00000000-0005-0000-0000-0000C33A0000}"/>
    <cellStyle name="Normal 183 2 3 2" xfId="15044" xr:uid="{00000000-0005-0000-0000-0000C43A0000}"/>
    <cellStyle name="Normal 183 2 3 2 2" xfId="15045" xr:uid="{00000000-0005-0000-0000-0000C53A0000}"/>
    <cellStyle name="Normal 183 2 3 3" xfId="15046" xr:uid="{00000000-0005-0000-0000-0000C63A0000}"/>
    <cellStyle name="Normal 183 2 4" xfId="15047" xr:uid="{00000000-0005-0000-0000-0000C73A0000}"/>
    <cellStyle name="Normal 183 2 4 2" xfId="15048" xr:uid="{00000000-0005-0000-0000-0000C83A0000}"/>
    <cellStyle name="Normal 183 2 4 2 2" xfId="15049" xr:uid="{00000000-0005-0000-0000-0000C93A0000}"/>
    <cellStyle name="Normal 183 2 4 3" xfId="15050" xr:uid="{00000000-0005-0000-0000-0000CA3A0000}"/>
    <cellStyle name="Normal 183 2 5" xfId="15051" xr:uid="{00000000-0005-0000-0000-0000CB3A0000}"/>
    <cellStyle name="Normal 183 3" xfId="15052" xr:uid="{00000000-0005-0000-0000-0000CC3A0000}"/>
    <cellStyle name="Normal 183 3 2" xfId="15053" xr:uid="{00000000-0005-0000-0000-0000CD3A0000}"/>
    <cellStyle name="Normal 183 3 2 2" xfId="15054" xr:uid="{00000000-0005-0000-0000-0000CE3A0000}"/>
    <cellStyle name="Normal 183 3 2 2 2" xfId="15055" xr:uid="{00000000-0005-0000-0000-0000CF3A0000}"/>
    <cellStyle name="Normal 183 3 2 3" xfId="15056" xr:uid="{00000000-0005-0000-0000-0000D03A0000}"/>
    <cellStyle name="Normal 183 3 2 3 2" xfId="15057" xr:uid="{00000000-0005-0000-0000-0000D13A0000}"/>
    <cellStyle name="Normal 183 3 2 3 2 2" xfId="15058" xr:uid="{00000000-0005-0000-0000-0000D23A0000}"/>
    <cellStyle name="Normal 183 3 2 3 3" xfId="15059" xr:uid="{00000000-0005-0000-0000-0000D33A0000}"/>
    <cellStyle name="Normal 183 3 2 4" xfId="15060" xr:uid="{00000000-0005-0000-0000-0000D43A0000}"/>
    <cellStyle name="Normal 183 3 3" xfId="15061" xr:uid="{00000000-0005-0000-0000-0000D53A0000}"/>
    <cellStyle name="Normal 183 3 3 2" xfId="15062" xr:uid="{00000000-0005-0000-0000-0000D63A0000}"/>
    <cellStyle name="Normal 183 3 3 2 2" xfId="15063" xr:uid="{00000000-0005-0000-0000-0000D73A0000}"/>
    <cellStyle name="Normal 183 3 3 3" xfId="15064" xr:uid="{00000000-0005-0000-0000-0000D83A0000}"/>
    <cellStyle name="Normal 183 3 4" xfId="15065" xr:uid="{00000000-0005-0000-0000-0000D93A0000}"/>
    <cellStyle name="Normal 183 3 4 2" xfId="15066" xr:uid="{00000000-0005-0000-0000-0000DA3A0000}"/>
    <cellStyle name="Normal 183 3 4 2 2" xfId="15067" xr:uid="{00000000-0005-0000-0000-0000DB3A0000}"/>
    <cellStyle name="Normal 183 3 4 3" xfId="15068" xr:uid="{00000000-0005-0000-0000-0000DC3A0000}"/>
    <cellStyle name="Normal 183 3 5" xfId="15069" xr:uid="{00000000-0005-0000-0000-0000DD3A0000}"/>
    <cellStyle name="Normal 183 3 5 2" xfId="15070" xr:uid="{00000000-0005-0000-0000-0000DE3A0000}"/>
    <cellStyle name="Normal 183 3 5 2 2" xfId="15071" xr:uid="{00000000-0005-0000-0000-0000DF3A0000}"/>
    <cellStyle name="Normal 183 3 5 3" xfId="15072" xr:uid="{00000000-0005-0000-0000-0000E03A0000}"/>
    <cellStyle name="Normal 183 3 6" xfId="15073" xr:uid="{00000000-0005-0000-0000-0000E13A0000}"/>
    <cellStyle name="Normal 183 4" xfId="15074" xr:uid="{00000000-0005-0000-0000-0000E23A0000}"/>
    <cellStyle name="Normal 183 4 2" xfId="15075" xr:uid="{00000000-0005-0000-0000-0000E33A0000}"/>
    <cellStyle name="Normal 183 4 2 2" xfId="15076" xr:uid="{00000000-0005-0000-0000-0000E43A0000}"/>
    <cellStyle name="Normal 183 4 3" xfId="15077" xr:uid="{00000000-0005-0000-0000-0000E53A0000}"/>
    <cellStyle name="Normal 183 5" xfId="15078" xr:uid="{00000000-0005-0000-0000-0000E63A0000}"/>
    <cellStyle name="Normal 183 5 2" xfId="15079" xr:uid="{00000000-0005-0000-0000-0000E73A0000}"/>
    <cellStyle name="Normal 183 5 2 2" xfId="15080" xr:uid="{00000000-0005-0000-0000-0000E83A0000}"/>
    <cellStyle name="Normal 183 5 3" xfId="15081" xr:uid="{00000000-0005-0000-0000-0000E93A0000}"/>
    <cellStyle name="Normal 183 6" xfId="15082" xr:uid="{00000000-0005-0000-0000-0000EA3A0000}"/>
    <cellStyle name="Normal 183 6 2" xfId="15083" xr:uid="{00000000-0005-0000-0000-0000EB3A0000}"/>
    <cellStyle name="Normal 183 6 2 2" xfId="15084" xr:uid="{00000000-0005-0000-0000-0000EC3A0000}"/>
    <cellStyle name="Normal 183 6 3" xfId="15085" xr:uid="{00000000-0005-0000-0000-0000ED3A0000}"/>
    <cellStyle name="Normal 183 7" xfId="15086" xr:uid="{00000000-0005-0000-0000-0000EE3A0000}"/>
    <cellStyle name="Normal 184" xfId="15087" xr:uid="{00000000-0005-0000-0000-0000EF3A0000}"/>
    <cellStyle name="Normal 184 2" xfId="15088" xr:uid="{00000000-0005-0000-0000-0000F03A0000}"/>
    <cellStyle name="Normal 184 2 2" xfId="15089" xr:uid="{00000000-0005-0000-0000-0000F13A0000}"/>
    <cellStyle name="Normal 184 2 2 2" xfId="15090" xr:uid="{00000000-0005-0000-0000-0000F23A0000}"/>
    <cellStyle name="Normal 184 2 3" xfId="15091" xr:uid="{00000000-0005-0000-0000-0000F33A0000}"/>
    <cellStyle name="Normal 184 2 3 2" xfId="15092" xr:uid="{00000000-0005-0000-0000-0000F43A0000}"/>
    <cellStyle name="Normal 184 2 3 2 2" xfId="15093" xr:uid="{00000000-0005-0000-0000-0000F53A0000}"/>
    <cellStyle name="Normal 184 2 3 3" xfId="15094" xr:uid="{00000000-0005-0000-0000-0000F63A0000}"/>
    <cellStyle name="Normal 184 2 4" xfId="15095" xr:uid="{00000000-0005-0000-0000-0000F73A0000}"/>
    <cellStyle name="Normal 184 2 4 2" xfId="15096" xr:uid="{00000000-0005-0000-0000-0000F83A0000}"/>
    <cellStyle name="Normal 184 2 4 2 2" xfId="15097" xr:uid="{00000000-0005-0000-0000-0000F93A0000}"/>
    <cellStyle name="Normal 184 2 4 3" xfId="15098" xr:uid="{00000000-0005-0000-0000-0000FA3A0000}"/>
    <cellStyle name="Normal 184 2 5" xfId="15099" xr:uid="{00000000-0005-0000-0000-0000FB3A0000}"/>
    <cellStyle name="Normal 184 3" xfId="15100" xr:uid="{00000000-0005-0000-0000-0000FC3A0000}"/>
    <cellStyle name="Normal 184 3 2" xfId="15101" xr:uid="{00000000-0005-0000-0000-0000FD3A0000}"/>
    <cellStyle name="Normal 184 3 2 2" xfId="15102" xr:uid="{00000000-0005-0000-0000-0000FE3A0000}"/>
    <cellStyle name="Normal 184 3 2 2 2" xfId="15103" xr:uid="{00000000-0005-0000-0000-0000FF3A0000}"/>
    <cellStyle name="Normal 184 3 2 3" xfId="15104" xr:uid="{00000000-0005-0000-0000-0000003B0000}"/>
    <cellStyle name="Normal 184 3 2 3 2" xfId="15105" xr:uid="{00000000-0005-0000-0000-0000013B0000}"/>
    <cellStyle name="Normal 184 3 2 3 2 2" xfId="15106" xr:uid="{00000000-0005-0000-0000-0000023B0000}"/>
    <cellStyle name="Normal 184 3 2 3 3" xfId="15107" xr:uid="{00000000-0005-0000-0000-0000033B0000}"/>
    <cellStyle name="Normal 184 3 2 4" xfId="15108" xr:uid="{00000000-0005-0000-0000-0000043B0000}"/>
    <cellStyle name="Normal 184 3 3" xfId="15109" xr:uid="{00000000-0005-0000-0000-0000053B0000}"/>
    <cellStyle name="Normal 184 3 3 2" xfId="15110" xr:uid="{00000000-0005-0000-0000-0000063B0000}"/>
    <cellStyle name="Normal 184 3 3 2 2" xfId="15111" xr:uid="{00000000-0005-0000-0000-0000073B0000}"/>
    <cellStyle name="Normal 184 3 3 3" xfId="15112" xr:uid="{00000000-0005-0000-0000-0000083B0000}"/>
    <cellStyle name="Normal 184 3 4" xfId="15113" xr:uid="{00000000-0005-0000-0000-0000093B0000}"/>
    <cellStyle name="Normal 184 3 4 2" xfId="15114" xr:uid="{00000000-0005-0000-0000-00000A3B0000}"/>
    <cellStyle name="Normal 184 3 4 2 2" xfId="15115" xr:uid="{00000000-0005-0000-0000-00000B3B0000}"/>
    <cellStyle name="Normal 184 3 4 3" xfId="15116" xr:uid="{00000000-0005-0000-0000-00000C3B0000}"/>
    <cellStyle name="Normal 184 3 5" xfId="15117" xr:uid="{00000000-0005-0000-0000-00000D3B0000}"/>
    <cellStyle name="Normal 184 3 5 2" xfId="15118" xr:uid="{00000000-0005-0000-0000-00000E3B0000}"/>
    <cellStyle name="Normal 184 3 5 2 2" xfId="15119" xr:uid="{00000000-0005-0000-0000-00000F3B0000}"/>
    <cellStyle name="Normal 184 3 5 3" xfId="15120" xr:uid="{00000000-0005-0000-0000-0000103B0000}"/>
    <cellStyle name="Normal 184 3 6" xfId="15121" xr:uid="{00000000-0005-0000-0000-0000113B0000}"/>
    <cellStyle name="Normal 184 4" xfId="15122" xr:uid="{00000000-0005-0000-0000-0000123B0000}"/>
    <cellStyle name="Normal 184 4 2" xfId="15123" xr:uid="{00000000-0005-0000-0000-0000133B0000}"/>
    <cellStyle name="Normal 184 4 2 2" xfId="15124" xr:uid="{00000000-0005-0000-0000-0000143B0000}"/>
    <cellStyle name="Normal 184 4 3" xfId="15125" xr:uid="{00000000-0005-0000-0000-0000153B0000}"/>
    <cellStyle name="Normal 184 5" xfId="15126" xr:uid="{00000000-0005-0000-0000-0000163B0000}"/>
    <cellStyle name="Normal 184 5 2" xfId="15127" xr:uid="{00000000-0005-0000-0000-0000173B0000}"/>
    <cellStyle name="Normal 184 5 2 2" xfId="15128" xr:uid="{00000000-0005-0000-0000-0000183B0000}"/>
    <cellStyle name="Normal 184 5 3" xfId="15129" xr:uid="{00000000-0005-0000-0000-0000193B0000}"/>
    <cellStyle name="Normal 184 6" xfId="15130" xr:uid="{00000000-0005-0000-0000-00001A3B0000}"/>
    <cellStyle name="Normal 184 6 2" xfId="15131" xr:uid="{00000000-0005-0000-0000-00001B3B0000}"/>
    <cellStyle name="Normal 184 6 2 2" xfId="15132" xr:uid="{00000000-0005-0000-0000-00001C3B0000}"/>
    <cellStyle name="Normal 184 6 3" xfId="15133" xr:uid="{00000000-0005-0000-0000-00001D3B0000}"/>
    <cellStyle name="Normal 184 7" xfId="15134" xr:uid="{00000000-0005-0000-0000-00001E3B0000}"/>
    <cellStyle name="Normal 185" xfId="15135" xr:uid="{00000000-0005-0000-0000-00001F3B0000}"/>
    <cellStyle name="Normal 185 2" xfId="15136" xr:uid="{00000000-0005-0000-0000-0000203B0000}"/>
    <cellStyle name="Normal 185 2 2" xfId="15137" xr:uid="{00000000-0005-0000-0000-0000213B0000}"/>
    <cellStyle name="Normal 185 2 2 2" xfId="15138" xr:uid="{00000000-0005-0000-0000-0000223B0000}"/>
    <cellStyle name="Normal 185 2 3" xfId="15139" xr:uid="{00000000-0005-0000-0000-0000233B0000}"/>
    <cellStyle name="Normal 185 2 3 2" xfId="15140" xr:uid="{00000000-0005-0000-0000-0000243B0000}"/>
    <cellStyle name="Normal 185 2 3 2 2" xfId="15141" xr:uid="{00000000-0005-0000-0000-0000253B0000}"/>
    <cellStyle name="Normal 185 2 3 3" xfId="15142" xr:uid="{00000000-0005-0000-0000-0000263B0000}"/>
    <cellStyle name="Normal 185 2 4" xfId="15143" xr:uid="{00000000-0005-0000-0000-0000273B0000}"/>
    <cellStyle name="Normal 185 2 4 2" xfId="15144" xr:uid="{00000000-0005-0000-0000-0000283B0000}"/>
    <cellStyle name="Normal 185 2 4 2 2" xfId="15145" xr:uid="{00000000-0005-0000-0000-0000293B0000}"/>
    <cellStyle name="Normal 185 2 4 3" xfId="15146" xr:uid="{00000000-0005-0000-0000-00002A3B0000}"/>
    <cellStyle name="Normal 185 2 5" xfId="15147" xr:uid="{00000000-0005-0000-0000-00002B3B0000}"/>
    <cellStyle name="Normal 185 3" xfId="15148" xr:uid="{00000000-0005-0000-0000-00002C3B0000}"/>
    <cellStyle name="Normal 185 3 2" xfId="15149" xr:uid="{00000000-0005-0000-0000-00002D3B0000}"/>
    <cellStyle name="Normal 185 3 2 2" xfId="15150" xr:uid="{00000000-0005-0000-0000-00002E3B0000}"/>
    <cellStyle name="Normal 185 3 2 2 2" xfId="15151" xr:uid="{00000000-0005-0000-0000-00002F3B0000}"/>
    <cellStyle name="Normal 185 3 2 3" xfId="15152" xr:uid="{00000000-0005-0000-0000-0000303B0000}"/>
    <cellStyle name="Normal 185 3 2 3 2" xfId="15153" xr:uid="{00000000-0005-0000-0000-0000313B0000}"/>
    <cellStyle name="Normal 185 3 2 3 2 2" xfId="15154" xr:uid="{00000000-0005-0000-0000-0000323B0000}"/>
    <cellStyle name="Normal 185 3 2 3 3" xfId="15155" xr:uid="{00000000-0005-0000-0000-0000333B0000}"/>
    <cellStyle name="Normal 185 3 2 4" xfId="15156" xr:uid="{00000000-0005-0000-0000-0000343B0000}"/>
    <cellStyle name="Normal 185 3 3" xfId="15157" xr:uid="{00000000-0005-0000-0000-0000353B0000}"/>
    <cellStyle name="Normal 185 3 3 2" xfId="15158" xr:uid="{00000000-0005-0000-0000-0000363B0000}"/>
    <cellStyle name="Normal 185 3 3 2 2" xfId="15159" xr:uid="{00000000-0005-0000-0000-0000373B0000}"/>
    <cellStyle name="Normal 185 3 3 3" xfId="15160" xr:uid="{00000000-0005-0000-0000-0000383B0000}"/>
    <cellStyle name="Normal 185 3 4" xfId="15161" xr:uid="{00000000-0005-0000-0000-0000393B0000}"/>
    <cellStyle name="Normal 185 3 4 2" xfId="15162" xr:uid="{00000000-0005-0000-0000-00003A3B0000}"/>
    <cellStyle name="Normal 185 3 4 2 2" xfId="15163" xr:uid="{00000000-0005-0000-0000-00003B3B0000}"/>
    <cellStyle name="Normal 185 3 4 3" xfId="15164" xr:uid="{00000000-0005-0000-0000-00003C3B0000}"/>
    <cellStyle name="Normal 185 3 5" xfId="15165" xr:uid="{00000000-0005-0000-0000-00003D3B0000}"/>
    <cellStyle name="Normal 185 3 5 2" xfId="15166" xr:uid="{00000000-0005-0000-0000-00003E3B0000}"/>
    <cellStyle name="Normal 185 3 5 2 2" xfId="15167" xr:uid="{00000000-0005-0000-0000-00003F3B0000}"/>
    <cellStyle name="Normal 185 3 5 3" xfId="15168" xr:uid="{00000000-0005-0000-0000-0000403B0000}"/>
    <cellStyle name="Normal 185 3 6" xfId="15169" xr:uid="{00000000-0005-0000-0000-0000413B0000}"/>
    <cellStyle name="Normal 185 4" xfId="15170" xr:uid="{00000000-0005-0000-0000-0000423B0000}"/>
    <cellStyle name="Normal 185 4 2" xfId="15171" xr:uid="{00000000-0005-0000-0000-0000433B0000}"/>
    <cellStyle name="Normal 185 4 2 2" xfId="15172" xr:uid="{00000000-0005-0000-0000-0000443B0000}"/>
    <cellStyle name="Normal 185 4 3" xfId="15173" xr:uid="{00000000-0005-0000-0000-0000453B0000}"/>
    <cellStyle name="Normal 185 5" xfId="15174" xr:uid="{00000000-0005-0000-0000-0000463B0000}"/>
    <cellStyle name="Normal 185 5 2" xfId="15175" xr:uid="{00000000-0005-0000-0000-0000473B0000}"/>
    <cellStyle name="Normal 185 5 2 2" xfId="15176" xr:uid="{00000000-0005-0000-0000-0000483B0000}"/>
    <cellStyle name="Normal 185 5 3" xfId="15177" xr:uid="{00000000-0005-0000-0000-0000493B0000}"/>
    <cellStyle name="Normal 185 6" xfId="15178" xr:uid="{00000000-0005-0000-0000-00004A3B0000}"/>
    <cellStyle name="Normal 185 6 2" xfId="15179" xr:uid="{00000000-0005-0000-0000-00004B3B0000}"/>
    <cellStyle name="Normal 185 6 2 2" xfId="15180" xr:uid="{00000000-0005-0000-0000-00004C3B0000}"/>
    <cellStyle name="Normal 185 6 3" xfId="15181" xr:uid="{00000000-0005-0000-0000-00004D3B0000}"/>
    <cellStyle name="Normal 185 7" xfId="15182" xr:uid="{00000000-0005-0000-0000-00004E3B0000}"/>
    <cellStyle name="Normal 186" xfId="15183" xr:uid="{00000000-0005-0000-0000-00004F3B0000}"/>
    <cellStyle name="Normal 186 2" xfId="15184" xr:uid="{00000000-0005-0000-0000-0000503B0000}"/>
    <cellStyle name="Normal 186 2 2" xfId="15185" xr:uid="{00000000-0005-0000-0000-0000513B0000}"/>
    <cellStyle name="Normal 186 2 2 2" xfId="15186" xr:uid="{00000000-0005-0000-0000-0000523B0000}"/>
    <cellStyle name="Normal 186 2 3" xfId="15187" xr:uid="{00000000-0005-0000-0000-0000533B0000}"/>
    <cellStyle name="Normal 186 2 3 2" xfId="15188" xr:uid="{00000000-0005-0000-0000-0000543B0000}"/>
    <cellStyle name="Normal 186 2 3 2 2" xfId="15189" xr:uid="{00000000-0005-0000-0000-0000553B0000}"/>
    <cellStyle name="Normal 186 2 3 3" xfId="15190" xr:uid="{00000000-0005-0000-0000-0000563B0000}"/>
    <cellStyle name="Normal 186 2 4" xfId="15191" xr:uid="{00000000-0005-0000-0000-0000573B0000}"/>
    <cellStyle name="Normal 186 2 4 2" xfId="15192" xr:uid="{00000000-0005-0000-0000-0000583B0000}"/>
    <cellStyle name="Normal 186 2 4 2 2" xfId="15193" xr:uid="{00000000-0005-0000-0000-0000593B0000}"/>
    <cellStyle name="Normal 186 2 4 3" xfId="15194" xr:uid="{00000000-0005-0000-0000-00005A3B0000}"/>
    <cellStyle name="Normal 186 2 5" xfId="15195" xr:uid="{00000000-0005-0000-0000-00005B3B0000}"/>
    <cellStyle name="Normal 186 3" xfId="15196" xr:uid="{00000000-0005-0000-0000-00005C3B0000}"/>
    <cellStyle name="Normal 186 3 2" xfId="15197" xr:uid="{00000000-0005-0000-0000-00005D3B0000}"/>
    <cellStyle name="Normal 186 3 2 2" xfId="15198" xr:uid="{00000000-0005-0000-0000-00005E3B0000}"/>
    <cellStyle name="Normal 186 3 2 2 2" xfId="15199" xr:uid="{00000000-0005-0000-0000-00005F3B0000}"/>
    <cellStyle name="Normal 186 3 2 3" xfId="15200" xr:uid="{00000000-0005-0000-0000-0000603B0000}"/>
    <cellStyle name="Normal 186 3 2 3 2" xfId="15201" xr:uid="{00000000-0005-0000-0000-0000613B0000}"/>
    <cellStyle name="Normal 186 3 2 3 2 2" xfId="15202" xr:uid="{00000000-0005-0000-0000-0000623B0000}"/>
    <cellStyle name="Normal 186 3 2 3 3" xfId="15203" xr:uid="{00000000-0005-0000-0000-0000633B0000}"/>
    <cellStyle name="Normal 186 3 2 4" xfId="15204" xr:uid="{00000000-0005-0000-0000-0000643B0000}"/>
    <cellStyle name="Normal 186 3 3" xfId="15205" xr:uid="{00000000-0005-0000-0000-0000653B0000}"/>
    <cellStyle name="Normal 186 3 3 2" xfId="15206" xr:uid="{00000000-0005-0000-0000-0000663B0000}"/>
    <cellStyle name="Normal 186 3 3 2 2" xfId="15207" xr:uid="{00000000-0005-0000-0000-0000673B0000}"/>
    <cellStyle name="Normal 186 3 3 3" xfId="15208" xr:uid="{00000000-0005-0000-0000-0000683B0000}"/>
    <cellStyle name="Normal 186 3 4" xfId="15209" xr:uid="{00000000-0005-0000-0000-0000693B0000}"/>
    <cellStyle name="Normal 186 3 4 2" xfId="15210" xr:uid="{00000000-0005-0000-0000-00006A3B0000}"/>
    <cellStyle name="Normal 186 3 4 2 2" xfId="15211" xr:uid="{00000000-0005-0000-0000-00006B3B0000}"/>
    <cellStyle name="Normal 186 3 4 3" xfId="15212" xr:uid="{00000000-0005-0000-0000-00006C3B0000}"/>
    <cellStyle name="Normal 186 3 5" xfId="15213" xr:uid="{00000000-0005-0000-0000-00006D3B0000}"/>
    <cellStyle name="Normal 186 3 5 2" xfId="15214" xr:uid="{00000000-0005-0000-0000-00006E3B0000}"/>
    <cellStyle name="Normal 186 3 5 2 2" xfId="15215" xr:uid="{00000000-0005-0000-0000-00006F3B0000}"/>
    <cellStyle name="Normal 186 3 5 3" xfId="15216" xr:uid="{00000000-0005-0000-0000-0000703B0000}"/>
    <cellStyle name="Normal 186 3 6" xfId="15217" xr:uid="{00000000-0005-0000-0000-0000713B0000}"/>
    <cellStyle name="Normal 186 4" xfId="15218" xr:uid="{00000000-0005-0000-0000-0000723B0000}"/>
    <cellStyle name="Normal 186 4 2" xfId="15219" xr:uid="{00000000-0005-0000-0000-0000733B0000}"/>
    <cellStyle name="Normal 186 4 2 2" xfId="15220" xr:uid="{00000000-0005-0000-0000-0000743B0000}"/>
    <cellStyle name="Normal 186 4 3" xfId="15221" xr:uid="{00000000-0005-0000-0000-0000753B0000}"/>
    <cellStyle name="Normal 186 5" xfId="15222" xr:uid="{00000000-0005-0000-0000-0000763B0000}"/>
    <cellStyle name="Normal 186 5 2" xfId="15223" xr:uid="{00000000-0005-0000-0000-0000773B0000}"/>
    <cellStyle name="Normal 186 5 2 2" xfId="15224" xr:uid="{00000000-0005-0000-0000-0000783B0000}"/>
    <cellStyle name="Normal 186 5 3" xfId="15225" xr:uid="{00000000-0005-0000-0000-0000793B0000}"/>
    <cellStyle name="Normal 186 6" xfId="15226" xr:uid="{00000000-0005-0000-0000-00007A3B0000}"/>
    <cellStyle name="Normal 186 6 2" xfId="15227" xr:uid="{00000000-0005-0000-0000-00007B3B0000}"/>
    <cellStyle name="Normal 186 6 2 2" xfId="15228" xr:uid="{00000000-0005-0000-0000-00007C3B0000}"/>
    <cellStyle name="Normal 186 6 3" xfId="15229" xr:uid="{00000000-0005-0000-0000-00007D3B0000}"/>
    <cellStyle name="Normal 186 7" xfId="15230" xr:uid="{00000000-0005-0000-0000-00007E3B0000}"/>
    <cellStyle name="Normal 187" xfId="15231" xr:uid="{00000000-0005-0000-0000-00007F3B0000}"/>
    <cellStyle name="Normal 187 2" xfId="15232" xr:uid="{00000000-0005-0000-0000-0000803B0000}"/>
    <cellStyle name="Normal 187 2 2" xfId="15233" xr:uid="{00000000-0005-0000-0000-0000813B0000}"/>
    <cellStyle name="Normal 187 2 2 2" xfId="15234" xr:uid="{00000000-0005-0000-0000-0000823B0000}"/>
    <cellStyle name="Normal 187 2 3" xfId="15235" xr:uid="{00000000-0005-0000-0000-0000833B0000}"/>
    <cellStyle name="Normal 187 2 3 2" xfId="15236" xr:uid="{00000000-0005-0000-0000-0000843B0000}"/>
    <cellStyle name="Normal 187 2 3 2 2" xfId="15237" xr:uid="{00000000-0005-0000-0000-0000853B0000}"/>
    <cellStyle name="Normal 187 2 3 3" xfId="15238" xr:uid="{00000000-0005-0000-0000-0000863B0000}"/>
    <cellStyle name="Normal 187 2 4" xfId="15239" xr:uid="{00000000-0005-0000-0000-0000873B0000}"/>
    <cellStyle name="Normal 187 2 4 2" xfId="15240" xr:uid="{00000000-0005-0000-0000-0000883B0000}"/>
    <cellStyle name="Normal 187 2 4 2 2" xfId="15241" xr:uid="{00000000-0005-0000-0000-0000893B0000}"/>
    <cellStyle name="Normal 187 2 4 3" xfId="15242" xr:uid="{00000000-0005-0000-0000-00008A3B0000}"/>
    <cellStyle name="Normal 187 2 5" xfId="15243" xr:uid="{00000000-0005-0000-0000-00008B3B0000}"/>
    <cellStyle name="Normal 187 3" xfId="15244" xr:uid="{00000000-0005-0000-0000-00008C3B0000}"/>
    <cellStyle name="Normal 187 3 2" xfId="15245" xr:uid="{00000000-0005-0000-0000-00008D3B0000}"/>
    <cellStyle name="Normal 187 3 2 2" xfId="15246" xr:uid="{00000000-0005-0000-0000-00008E3B0000}"/>
    <cellStyle name="Normal 187 3 2 2 2" xfId="15247" xr:uid="{00000000-0005-0000-0000-00008F3B0000}"/>
    <cellStyle name="Normal 187 3 2 3" xfId="15248" xr:uid="{00000000-0005-0000-0000-0000903B0000}"/>
    <cellStyle name="Normal 187 3 2 3 2" xfId="15249" xr:uid="{00000000-0005-0000-0000-0000913B0000}"/>
    <cellStyle name="Normal 187 3 2 3 2 2" xfId="15250" xr:uid="{00000000-0005-0000-0000-0000923B0000}"/>
    <cellStyle name="Normal 187 3 2 3 3" xfId="15251" xr:uid="{00000000-0005-0000-0000-0000933B0000}"/>
    <cellStyle name="Normal 187 3 2 4" xfId="15252" xr:uid="{00000000-0005-0000-0000-0000943B0000}"/>
    <cellStyle name="Normal 187 3 3" xfId="15253" xr:uid="{00000000-0005-0000-0000-0000953B0000}"/>
    <cellStyle name="Normal 187 3 3 2" xfId="15254" xr:uid="{00000000-0005-0000-0000-0000963B0000}"/>
    <cellStyle name="Normal 187 3 3 2 2" xfId="15255" xr:uid="{00000000-0005-0000-0000-0000973B0000}"/>
    <cellStyle name="Normal 187 3 3 3" xfId="15256" xr:uid="{00000000-0005-0000-0000-0000983B0000}"/>
    <cellStyle name="Normal 187 3 4" xfId="15257" xr:uid="{00000000-0005-0000-0000-0000993B0000}"/>
    <cellStyle name="Normal 187 3 4 2" xfId="15258" xr:uid="{00000000-0005-0000-0000-00009A3B0000}"/>
    <cellStyle name="Normal 187 3 4 2 2" xfId="15259" xr:uid="{00000000-0005-0000-0000-00009B3B0000}"/>
    <cellStyle name="Normal 187 3 4 3" xfId="15260" xr:uid="{00000000-0005-0000-0000-00009C3B0000}"/>
    <cellStyle name="Normal 187 3 5" xfId="15261" xr:uid="{00000000-0005-0000-0000-00009D3B0000}"/>
    <cellStyle name="Normal 187 3 5 2" xfId="15262" xr:uid="{00000000-0005-0000-0000-00009E3B0000}"/>
    <cellStyle name="Normal 187 3 5 2 2" xfId="15263" xr:uid="{00000000-0005-0000-0000-00009F3B0000}"/>
    <cellStyle name="Normal 187 3 5 3" xfId="15264" xr:uid="{00000000-0005-0000-0000-0000A03B0000}"/>
    <cellStyle name="Normal 187 3 6" xfId="15265" xr:uid="{00000000-0005-0000-0000-0000A13B0000}"/>
    <cellStyle name="Normal 187 4" xfId="15266" xr:uid="{00000000-0005-0000-0000-0000A23B0000}"/>
    <cellStyle name="Normal 187 4 2" xfId="15267" xr:uid="{00000000-0005-0000-0000-0000A33B0000}"/>
    <cellStyle name="Normal 187 4 2 2" xfId="15268" xr:uid="{00000000-0005-0000-0000-0000A43B0000}"/>
    <cellStyle name="Normal 187 4 3" xfId="15269" xr:uid="{00000000-0005-0000-0000-0000A53B0000}"/>
    <cellStyle name="Normal 187 5" xfId="15270" xr:uid="{00000000-0005-0000-0000-0000A63B0000}"/>
    <cellStyle name="Normal 187 5 2" xfId="15271" xr:uid="{00000000-0005-0000-0000-0000A73B0000}"/>
    <cellStyle name="Normal 187 5 2 2" xfId="15272" xr:uid="{00000000-0005-0000-0000-0000A83B0000}"/>
    <cellStyle name="Normal 187 5 3" xfId="15273" xr:uid="{00000000-0005-0000-0000-0000A93B0000}"/>
    <cellStyle name="Normal 187 6" xfId="15274" xr:uid="{00000000-0005-0000-0000-0000AA3B0000}"/>
    <cellStyle name="Normal 187 6 2" xfId="15275" xr:uid="{00000000-0005-0000-0000-0000AB3B0000}"/>
    <cellStyle name="Normal 187 6 2 2" xfId="15276" xr:uid="{00000000-0005-0000-0000-0000AC3B0000}"/>
    <cellStyle name="Normal 187 6 3" xfId="15277" xr:uid="{00000000-0005-0000-0000-0000AD3B0000}"/>
    <cellStyle name="Normal 187 7" xfId="15278" xr:uid="{00000000-0005-0000-0000-0000AE3B0000}"/>
    <cellStyle name="Normal 188" xfId="15279" xr:uid="{00000000-0005-0000-0000-0000AF3B0000}"/>
    <cellStyle name="Normal 188 2" xfId="15280" xr:uid="{00000000-0005-0000-0000-0000B03B0000}"/>
    <cellStyle name="Normal 188 2 2" xfId="15281" xr:uid="{00000000-0005-0000-0000-0000B13B0000}"/>
    <cellStyle name="Normal 188 2 2 2" xfId="15282" xr:uid="{00000000-0005-0000-0000-0000B23B0000}"/>
    <cellStyle name="Normal 188 2 3" xfId="15283" xr:uid="{00000000-0005-0000-0000-0000B33B0000}"/>
    <cellStyle name="Normal 188 2 3 2" xfId="15284" xr:uid="{00000000-0005-0000-0000-0000B43B0000}"/>
    <cellStyle name="Normal 188 2 3 2 2" xfId="15285" xr:uid="{00000000-0005-0000-0000-0000B53B0000}"/>
    <cellStyle name="Normal 188 2 3 3" xfId="15286" xr:uid="{00000000-0005-0000-0000-0000B63B0000}"/>
    <cellStyle name="Normal 188 2 4" xfId="15287" xr:uid="{00000000-0005-0000-0000-0000B73B0000}"/>
    <cellStyle name="Normal 188 2 4 2" xfId="15288" xr:uid="{00000000-0005-0000-0000-0000B83B0000}"/>
    <cellStyle name="Normal 188 2 4 2 2" xfId="15289" xr:uid="{00000000-0005-0000-0000-0000B93B0000}"/>
    <cellStyle name="Normal 188 2 4 3" xfId="15290" xr:uid="{00000000-0005-0000-0000-0000BA3B0000}"/>
    <cellStyle name="Normal 188 2 5" xfId="15291" xr:uid="{00000000-0005-0000-0000-0000BB3B0000}"/>
    <cellStyle name="Normal 188 3" xfId="15292" xr:uid="{00000000-0005-0000-0000-0000BC3B0000}"/>
    <cellStyle name="Normal 188 3 2" xfId="15293" xr:uid="{00000000-0005-0000-0000-0000BD3B0000}"/>
    <cellStyle name="Normal 188 3 2 2" xfId="15294" xr:uid="{00000000-0005-0000-0000-0000BE3B0000}"/>
    <cellStyle name="Normal 188 3 2 2 2" xfId="15295" xr:uid="{00000000-0005-0000-0000-0000BF3B0000}"/>
    <cellStyle name="Normal 188 3 2 3" xfId="15296" xr:uid="{00000000-0005-0000-0000-0000C03B0000}"/>
    <cellStyle name="Normal 188 3 2 3 2" xfId="15297" xr:uid="{00000000-0005-0000-0000-0000C13B0000}"/>
    <cellStyle name="Normal 188 3 2 3 2 2" xfId="15298" xr:uid="{00000000-0005-0000-0000-0000C23B0000}"/>
    <cellStyle name="Normal 188 3 2 3 3" xfId="15299" xr:uid="{00000000-0005-0000-0000-0000C33B0000}"/>
    <cellStyle name="Normal 188 3 2 4" xfId="15300" xr:uid="{00000000-0005-0000-0000-0000C43B0000}"/>
    <cellStyle name="Normal 188 3 3" xfId="15301" xr:uid="{00000000-0005-0000-0000-0000C53B0000}"/>
    <cellStyle name="Normal 188 3 3 2" xfId="15302" xr:uid="{00000000-0005-0000-0000-0000C63B0000}"/>
    <cellStyle name="Normal 188 3 3 2 2" xfId="15303" xr:uid="{00000000-0005-0000-0000-0000C73B0000}"/>
    <cellStyle name="Normal 188 3 3 3" xfId="15304" xr:uid="{00000000-0005-0000-0000-0000C83B0000}"/>
    <cellStyle name="Normal 188 3 4" xfId="15305" xr:uid="{00000000-0005-0000-0000-0000C93B0000}"/>
    <cellStyle name="Normal 188 3 4 2" xfId="15306" xr:uid="{00000000-0005-0000-0000-0000CA3B0000}"/>
    <cellStyle name="Normal 188 3 4 2 2" xfId="15307" xr:uid="{00000000-0005-0000-0000-0000CB3B0000}"/>
    <cellStyle name="Normal 188 3 4 3" xfId="15308" xr:uid="{00000000-0005-0000-0000-0000CC3B0000}"/>
    <cellStyle name="Normal 188 3 5" xfId="15309" xr:uid="{00000000-0005-0000-0000-0000CD3B0000}"/>
    <cellStyle name="Normal 188 3 5 2" xfId="15310" xr:uid="{00000000-0005-0000-0000-0000CE3B0000}"/>
    <cellStyle name="Normal 188 3 5 2 2" xfId="15311" xr:uid="{00000000-0005-0000-0000-0000CF3B0000}"/>
    <cellStyle name="Normal 188 3 5 3" xfId="15312" xr:uid="{00000000-0005-0000-0000-0000D03B0000}"/>
    <cellStyle name="Normal 188 3 6" xfId="15313" xr:uid="{00000000-0005-0000-0000-0000D13B0000}"/>
    <cellStyle name="Normal 188 4" xfId="15314" xr:uid="{00000000-0005-0000-0000-0000D23B0000}"/>
    <cellStyle name="Normal 188 4 2" xfId="15315" xr:uid="{00000000-0005-0000-0000-0000D33B0000}"/>
    <cellStyle name="Normal 188 4 2 2" xfId="15316" xr:uid="{00000000-0005-0000-0000-0000D43B0000}"/>
    <cellStyle name="Normal 188 4 3" xfId="15317" xr:uid="{00000000-0005-0000-0000-0000D53B0000}"/>
    <cellStyle name="Normal 188 5" xfId="15318" xr:uid="{00000000-0005-0000-0000-0000D63B0000}"/>
    <cellStyle name="Normal 188 5 2" xfId="15319" xr:uid="{00000000-0005-0000-0000-0000D73B0000}"/>
    <cellStyle name="Normal 188 5 2 2" xfId="15320" xr:uid="{00000000-0005-0000-0000-0000D83B0000}"/>
    <cellStyle name="Normal 188 5 3" xfId="15321" xr:uid="{00000000-0005-0000-0000-0000D93B0000}"/>
    <cellStyle name="Normal 188 6" xfId="15322" xr:uid="{00000000-0005-0000-0000-0000DA3B0000}"/>
    <cellStyle name="Normal 188 6 2" xfId="15323" xr:uid="{00000000-0005-0000-0000-0000DB3B0000}"/>
    <cellStyle name="Normal 188 6 2 2" xfId="15324" xr:uid="{00000000-0005-0000-0000-0000DC3B0000}"/>
    <cellStyle name="Normal 188 6 3" xfId="15325" xr:uid="{00000000-0005-0000-0000-0000DD3B0000}"/>
    <cellStyle name="Normal 188 7" xfId="15326" xr:uid="{00000000-0005-0000-0000-0000DE3B0000}"/>
    <cellStyle name="Normal 189" xfId="15327" xr:uid="{00000000-0005-0000-0000-0000DF3B0000}"/>
    <cellStyle name="Normal 189 2" xfId="15328" xr:uid="{00000000-0005-0000-0000-0000E03B0000}"/>
    <cellStyle name="Normal 189 2 2" xfId="15329" xr:uid="{00000000-0005-0000-0000-0000E13B0000}"/>
    <cellStyle name="Normal 189 2 2 2" xfId="15330" xr:uid="{00000000-0005-0000-0000-0000E23B0000}"/>
    <cellStyle name="Normal 189 2 3" xfId="15331" xr:uid="{00000000-0005-0000-0000-0000E33B0000}"/>
    <cellStyle name="Normal 189 2 3 2" xfId="15332" xr:uid="{00000000-0005-0000-0000-0000E43B0000}"/>
    <cellStyle name="Normal 189 2 3 2 2" xfId="15333" xr:uid="{00000000-0005-0000-0000-0000E53B0000}"/>
    <cellStyle name="Normal 189 2 3 3" xfId="15334" xr:uid="{00000000-0005-0000-0000-0000E63B0000}"/>
    <cellStyle name="Normal 189 2 4" xfId="15335" xr:uid="{00000000-0005-0000-0000-0000E73B0000}"/>
    <cellStyle name="Normal 189 2 4 2" xfId="15336" xr:uid="{00000000-0005-0000-0000-0000E83B0000}"/>
    <cellStyle name="Normal 189 2 4 2 2" xfId="15337" xr:uid="{00000000-0005-0000-0000-0000E93B0000}"/>
    <cellStyle name="Normal 189 2 4 3" xfId="15338" xr:uid="{00000000-0005-0000-0000-0000EA3B0000}"/>
    <cellStyle name="Normal 189 2 5" xfId="15339" xr:uid="{00000000-0005-0000-0000-0000EB3B0000}"/>
    <cellStyle name="Normal 189 3" xfId="15340" xr:uid="{00000000-0005-0000-0000-0000EC3B0000}"/>
    <cellStyle name="Normal 189 3 2" xfId="15341" xr:uid="{00000000-0005-0000-0000-0000ED3B0000}"/>
    <cellStyle name="Normal 189 3 2 2" xfId="15342" xr:uid="{00000000-0005-0000-0000-0000EE3B0000}"/>
    <cellStyle name="Normal 189 3 2 2 2" xfId="15343" xr:uid="{00000000-0005-0000-0000-0000EF3B0000}"/>
    <cellStyle name="Normal 189 3 2 3" xfId="15344" xr:uid="{00000000-0005-0000-0000-0000F03B0000}"/>
    <cellStyle name="Normal 189 3 2 3 2" xfId="15345" xr:uid="{00000000-0005-0000-0000-0000F13B0000}"/>
    <cellStyle name="Normal 189 3 2 3 2 2" xfId="15346" xr:uid="{00000000-0005-0000-0000-0000F23B0000}"/>
    <cellStyle name="Normal 189 3 2 3 3" xfId="15347" xr:uid="{00000000-0005-0000-0000-0000F33B0000}"/>
    <cellStyle name="Normal 189 3 2 4" xfId="15348" xr:uid="{00000000-0005-0000-0000-0000F43B0000}"/>
    <cellStyle name="Normal 189 3 3" xfId="15349" xr:uid="{00000000-0005-0000-0000-0000F53B0000}"/>
    <cellStyle name="Normal 189 3 3 2" xfId="15350" xr:uid="{00000000-0005-0000-0000-0000F63B0000}"/>
    <cellStyle name="Normal 189 3 3 2 2" xfId="15351" xr:uid="{00000000-0005-0000-0000-0000F73B0000}"/>
    <cellStyle name="Normal 189 3 3 3" xfId="15352" xr:uid="{00000000-0005-0000-0000-0000F83B0000}"/>
    <cellStyle name="Normal 189 3 4" xfId="15353" xr:uid="{00000000-0005-0000-0000-0000F93B0000}"/>
    <cellStyle name="Normal 189 3 4 2" xfId="15354" xr:uid="{00000000-0005-0000-0000-0000FA3B0000}"/>
    <cellStyle name="Normal 189 3 4 2 2" xfId="15355" xr:uid="{00000000-0005-0000-0000-0000FB3B0000}"/>
    <cellStyle name="Normal 189 3 4 3" xfId="15356" xr:uid="{00000000-0005-0000-0000-0000FC3B0000}"/>
    <cellStyle name="Normal 189 3 5" xfId="15357" xr:uid="{00000000-0005-0000-0000-0000FD3B0000}"/>
    <cellStyle name="Normal 189 3 5 2" xfId="15358" xr:uid="{00000000-0005-0000-0000-0000FE3B0000}"/>
    <cellStyle name="Normal 189 3 5 2 2" xfId="15359" xr:uid="{00000000-0005-0000-0000-0000FF3B0000}"/>
    <cellStyle name="Normal 189 3 5 3" xfId="15360" xr:uid="{00000000-0005-0000-0000-0000003C0000}"/>
    <cellStyle name="Normal 189 3 6" xfId="15361" xr:uid="{00000000-0005-0000-0000-0000013C0000}"/>
    <cellStyle name="Normal 189 4" xfId="15362" xr:uid="{00000000-0005-0000-0000-0000023C0000}"/>
    <cellStyle name="Normal 189 4 2" xfId="15363" xr:uid="{00000000-0005-0000-0000-0000033C0000}"/>
    <cellStyle name="Normal 189 4 2 2" xfId="15364" xr:uid="{00000000-0005-0000-0000-0000043C0000}"/>
    <cellStyle name="Normal 189 4 3" xfId="15365" xr:uid="{00000000-0005-0000-0000-0000053C0000}"/>
    <cellStyle name="Normal 189 5" xfId="15366" xr:uid="{00000000-0005-0000-0000-0000063C0000}"/>
    <cellStyle name="Normal 189 5 2" xfId="15367" xr:uid="{00000000-0005-0000-0000-0000073C0000}"/>
    <cellStyle name="Normal 189 5 2 2" xfId="15368" xr:uid="{00000000-0005-0000-0000-0000083C0000}"/>
    <cellStyle name="Normal 189 5 3" xfId="15369" xr:uid="{00000000-0005-0000-0000-0000093C0000}"/>
    <cellStyle name="Normal 189 6" xfId="15370" xr:uid="{00000000-0005-0000-0000-00000A3C0000}"/>
    <cellStyle name="Normal 189 6 2" xfId="15371" xr:uid="{00000000-0005-0000-0000-00000B3C0000}"/>
    <cellStyle name="Normal 189 6 2 2" xfId="15372" xr:uid="{00000000-0005-0000-0000-00000C3C0000}"/>
    <cellStyle name="Normal 189 6 3" xfId="15373" xr:uid="{00000000-0005-0000-0000-00000D3C0000}"/>
    <cellStyle name="Normal 189 7" xfId="15374" xr:uid="{00000000-0005-0000-0000-00000E3C0000}"/>
    <cellStyle name="Normal 19" xfId="15375" xr:uid="{00000000-0005-0000-0000-00000F3C0000}"/>
    <cellStyle name="Normal 19 2" xfId="15376" xr:uid="{00000000-0005-0000-0000-0000103C0000}"/>
    <cellStyle name="Normal 19 2 2" xfId="15377" xr:uid="{00000000-0005-0000-0000-0000113C0000}"/>
    <cellStyle name="Normal 19 2 2 2" xfId="15378" xr:uid="{00000000-0005-0000-0000-0000123C0000}"/>
    <cellStyle name="Normal 19 2 2 2 2" xfId="15379" xr:uid="{00000000-0005-0000-0000-0000133C0000}"/>
    <cellStyle name="Normal 19 2 2 3" xfId="15380" xr:uid="{00000000-0005-0000-0000-0000143C0000}"/>
    <cellStyle name="Normal 19 2 2 3 2" xfId="15381" xr:uid="{00000000-0005-0000-0000-0000153C0000}"/>
    <cellStyle name="Normal 19 2 2 3 2 2" xfId="15382" xr:uid="{00000000-0005-0000-0000-0000163C0000}"/>
    <cellStyle name="Normal 19 2 2 3 3" xfId="15383" xr:uid="{00000000-0005-0000-0000-0000173C0000}"/>
    <cellStyle name="Normal 19 2 2 4" xfId="15384" xr:uid="{00000000-0005-0000-0000-0000183C0000}"/>
    <cellStyle name="Normal 19 2 2 4 2" xfId="15385" xr:uid="{00000000-0005-0000-0000-0000193C0000}"/>
    <cellStyle name="Normal 19 2 2 4 2 2" xfId="15386" xr:uid="{00000000-0005-0000-0000-00001A3C0000}"/>
    <cellStyle name="Normal 19 2 2 4 3" xfId="15387" xr:uid="{00000000-0005-0000-0000-00001B3C0000}"/>
    <cellStyle name="Normal 19 2 2 5" xfId="15388" xr:uid="{00000000-0005-0000-0000-00001C3C0000}"/>
    <cellStyle name="Normal 19 2 3" xfId="15389" xr:uid="{00000000-0005-0000-0000-00001D3C0000}"/>
    <cellStyle name="Normal 19 2 3 2" xfId="15390" xr:uid="{00000000-0005-0000-0000-00001E3C0000}"/>
    <cellStyle name="Normal 19 2 3 2 2" xfId="15391" xr:uid="{00000000-0005-0000-0000-00001F3C0000}"/>
    <cellStyle name="Normal 19 2 3 3" xfId="15392" xr:uid="{00000000-0005-0000-0000-0000203C0000}"/>
    <cellStyle name="Normal 19 2 4" xfId="15393" xr:uid="{00000000-0005-0000-0000-0000213C0000}"/>
    <cellStyle name="Normal 19 2 4 2" xfId="15394" xr:uid="{00000000-0005-0000-0000-0000223C0000}"/>
    <cellStyle name="Normal 19 2 4 2 2" xfId="15395" xr:uid="{00000000-0005-0000-0000-0000233C0000}"/>
    <cellStyle name="Normal 19 2 4 3" xfId="15396" xr:uid="{00000000-0005-0000-0000-0000243C0000}"/>
    <cellStyle name="Normal 19 2 5" xfId="15397" xr:uid="{00000000-0005-0000-0000-0000253C0000}"/>
    <cellStyle name="Normal 19 2 5 2" xfId="15398" xr:uid="{00000000-0005-0000-0000-0000263C0000}"/>
    <cellStyle name="Normal 19 2 5 2 2" xfId="15399" xr:uid="{00000000-0005-0000-0000-0000273C0000}"/>
    <cellStyle name="Normal 19 2 5 3" xfId="15400" xr:uid="{00000000-0005-0000-0000-0000283C0000}"/>
    <cellStyle name="Normal 19 2 6" xfId="15401" xr:uid="{00000000-0005-0000-0000-0000293C0000}"/>
    <cellStyle name="Normal 19 3" xfId="15402" xr:uid="{00000000-0005-0000-0000-00002A3C0000}"/>
    <cellStyle name="Normal 19 3 2" xfId="15403" xr:uid="{00000000-0005-0000-0000-00002B3C0000}"/>
    <cellStyle name="Normal 19 3 2 2" xfId="15404" xr:uid="{00000000-0005-0000-0000-00002C3C0000}"/>
    <cellStyle name="Normal 19 3 3" xfId="15405" xr:uid="{00000000-0005-0000-0000-00002D3C0000}"/>
    <cellStyle name="Normal 19 3 3 2" xfId="15406" xr:uid="{00000000-0005-0000-0000-00002E3C0000}"/>
    <cellStyle name="Normal 19 3 3 2 2" xfId="15407" xr:uid="{00000000-0005-0000-0000-00002F3C0000}"/>
    <cellStyle name="Normal 19 3 3 3" xfId="15408" xr:uid="{00000000-0005-0000-0000-0000303C0000}"/>
    <cellStyle name="Normal 19 3 4" xfId="15409" xr:uid="{00000000-0005-0000-0000-0000313C0000}"/>
    <cellStyle name="Normal 19 3 4 2" xfId="15410" xr:uid="{00000000-0005-0000-0000-0000323C0000}"/>
    <cellStyle name="Normal 19 3 4 2 2" xfId="15411" xr:uid="{00000000-0005-0000-0000-0000333C0000}"/>
    <cellStyle name="Normal 19 3 4 3" xfId="15412" xr:uid="{00000000-0005-0000-0000-0000343C0000}"/>
    <cellStyle name="Normal 19 3 5" xfId="15413" xr:uid="{00000000-0005-0000-0000-0000353C0000}"/>
    <cellStyle name="Normal 19 4" xfId="15414" xr:uid="{00000000-0005-0000-0000-0000363C0000}"/>
    <cellStyle name="Normal 19 4 2" xfId="15415" xr:uid="{00000000-0005-0000-0000-0000373C0000}"/>
    <cellStyle name="Normal 19 4 2 2" xfId="15416" xr:uid="{00000000-0005-0000-0000-0000383C0000}"/>
    <cellStyle name="Normal 19 4 2 2 2" xfId="15417" xr:uid="{00000000-0005-0000-0000-0000393C0000}"/>
    <cellStyle name="Normal 19 4 2 3" xfId="15418" xr:uid="{00000000-0005-0000-0000-00003A3C0000}"/>
    <cellStyle name="Normal 19 4 2 3 2" xfId="15419" xr:uid="{00000000-0005-0000-0000-00003B3C0000}"/>
    <cellStyle name="Normal 19 4 2 3 2 2" xfId="15420" xr:uid="{00000000-0005-0000-0000-00003C3C0000}"/>
    <cellStyle name="Normal 19 4 2 3 3" xfId="15421" xr:uid="{00000000-0005-0000-0000-00003D3C0000}"/>
    <cellStyle name="Normal 19 4 2 4" xfId="15422" xr:uid="{00000000-0005-0000-0000-00003E3C0000}"/>
    <cellStyle name="Normal 19 4 3" xfId="15423" xr:uid="{00000000-0005-0000-0000-00003F3C0000}"/>
    <cellStyle name="Normal 19 4 3 2" xfId="15424" xr:uid="{00000000-0005-0000-0000-0000403C0000}"/>
    <cellStyle name="Normal 19 4 3 2 2" xfId="15425" xr:uid="{00000000-0005-0000-0000-0000413C0000}"/>
    <cellStyle name="Normal 19 4 3 3" xfId="15426" xr:uid="{00000000-0005-0000-0000-0000423C0000}"/>
    <cellStyle name="Normal 19 4 4" xfId="15427" xr:uid="{00000000-0005-0000-0000-0000433C0000}"/>
    <cellStyle name="Normal 19 4 4 2" xfId="15428" xr:uid="{00000000-0005-0000-0000-0000443C0000}"/>
    <cellStyle name="Normal 19 4 4 2 2" xfId="15429" xr:uid="{00000000-0005-0000-0000-0000453C0000}"/>
    <cellStyle name="Normal 19 4 4 3" xfId="15430" xr:uid="{00000000-0005-0000-0000-0000463C0000}"/>
    <cellStyle name="Normal 19 4 5" xfId="15431" xr:uid="{00000000-0005-0000-0000-0000473C0000}"/>
    <cellStyle name="Normal 19 4 5 2" xfId="15432" xr:uid="{00000000-0005-0000-0000-0000483C0000}"/>
    <cellStyle name="Normal 19 4 5 2 2" xfId="15433" xr:uid="{00000000-0005-0000-0000-0000493C0000}"/>
    <cellStyle name="Normal 19 4 5 3" xfId="15434" xr:uid="{00000000-0005-0000-0000-00004A3C0000}"/>
    <cellStyle name="Normal 19 4 6" xfId="15435" xr:uid="{00000000-0005-0000-0000-00004B3C0000}"/>
    <cellStyle name="Normal 19 5" xfId="15436" xr:uid="{00000000-0005-0000-0000-00004C3C0000}"/>
    <cellStyle name="Normal 190" xfId="15437" xr:uid="{00000000-0005-0000-0000-00004D3C0000}"/>
    <cellStyle name="Normal 190 2" xfId="15438" xr:uid="{00000000-0005-0000-0000-00004E3C0000}"/>
    <cellStyle name="Normal 190 2 2" xfId="15439" xr:uid="{00000000-0005-0000-0000-00004F3C0000}"/>
    <cellStyle name="Normal 190 2 2 2" xfId="15440" xr:uid="{00000000-0005-0000-0000-0000503C0000}"/>
    <cellStyle name="Normal 190 2 3" xfId="15441" xr:uid="{00000000-0005-0000-0000-0000513C0000}"/>
    <cellStyle name="Normal 190 2 3 2" xfId="15442" xr:uid="{00000000-0005-0000-0000-0000523C0000}"/>
    <cellStyle name="Normal 190 2 3 2 2" xfId="15443" xr:uid="{00000000-0005-0000-0000-0000533C0000}"/>
    <cellStyle name="Normal 190 2 3 3" xfId="15444" xr:uid="{00000000-0005-0000-0000-0000543C0000}"/>
    <cellStyle name="Normal 190 2 4" xfId="15445" xr:uid="{00000000-0005-0000-0000-0000553C0000}"/>
    <cellStyle name="Normal 190 2 4 2" xfId="15446" xr:uid="{00000000-0005-0000-0000-0000563C0000}"/>
    <cellStyle name="Normal 190 2 4 2 2" xfId="15447" xr:uid="{00000000-0005-0000-0000-0000573C0000}"/>
    <cellStyle name="Normal 190 2 4 3" xfId="15448" xr:uid="{00000000-0005-0000-0000-0000583C0000}"/>
    <cellStyle name="Normal 190 2 5" xfId="15449" xr:uid="{00000000-0005-0000-0000-0000593C0000}"/>
    <cellStyle name="Normal 190 3" xfId="15450" xr:uid="{00000000-0005-0000-0000-00005A3C0000}"/>
    <cellStyle name="Normal 190 3 2" xfId="15451" xr:uid="{00000000-0005-0000-0000-00005B3C0000}"/>
    <cellStyle name="Normal 190 3 2 2" xfId="15452" xr:uid="{00000000-0005-0000-0000-00005C3C0000}"/>
    <cellStyle name="Normal 190 3 2 2 2" xfId="15453" xr:uid="{00000000-0005-0000-0000-00005D3C0000}"/>
    <cellStyle name="Normal 190 3 2 3" xfId="15454" xr:uid="{00000000-0005-0000-0000-00005E3C0000}"/>
    <cellStyle name="Normal 190 3 2 3 2" xfId="15455" xr:uid="{00000000-0005-0000-0000-00005F3C0000}"/>
    <cellStyle name="Normal 190 3 2 3 2 2" xfId="15456" xr:uid="{00000000-0005-0000-0000-0000603C0000}"/>
    <cellStyle name="Normal 190 3 2 3 3" xfId="15457" xr:uid="{00000000-0005-0000-0000-0000613C0000}"/>
    <cellStyle name="Normal 190 3 2 4" xfId="15458" xr:uid="{00000000-0005-0000-0000-0000623C0000}"/>
    <cellStyle name="Normal 190 3 3" xfId="15459" xr:uid="{00000000-0005-0000-0000-0000633C0000}"/>
    <cellStyle name="Normal 190 3 3 2" xfId="15460" xr:uid="{00000000-0005-0000-0000-0000643C0000}"/>
    <cellStyle name="Normal 190 3 3 2 2" xfId="15461" xr:uid="{00000000-0005-0000-0000-0000653C0000}"/>
    <cellStyle name="Normal 190 3 3 3" xfId="15462" xr:uid="{00000000-0005-0000-0000-0000663C0000}"/>
    <cellStyle name="Normal 190 3 4" xfId="15463" xr:uid="{00000000-0005-0000-0000-0000673C0000}"/>
    <cellStyle name="Normal 190 3 4 2" xfId="15464" xr:uid="{00000000-0005-0000-0000-0000683C0000}"/>
    <cellStyle name="Normal 190 3 4 2 2" xfId="15465" xr:uid="{00000000-0005-0000-0000-0000693C0000}"/>
    <cellStyle name="Normal 190 3 4 3" xfId="15466" xr:uid="{00000000-0005-0000-0000-00006A3C0000}"/>
    <cellStyle name="Normal 190 3 5" xfId="15467" xr:uid="{00000000-0005-0000-0000-00006B3C0000}"/>
    <cellStyle name="Normal 190 3 5 2" xfId="15468" xr:uid="{00000000-0005-0000-0000-00006C3C0000}"/>
    <cellStyle name="Normal 190 3 5 2 2" xfId="15469" xr:uid="{00000000-0005-0000-0000-00006D3C0000}"/>
    <cellStyle name="Normal 190 3 5 3" xfId="15470" xr:uid="{00000000-0005-0000-0000-00006E3C0000}"/>
    <cellStyle name="Normal 190 3 6" xfId="15471" xr:uid="{00000000-0005-0000-0000-00006F3C0000}"/>
    <cellStyle name="Normal 190 4" xfId="15472" xr:uid="{00000000-0005-0000-0000-0000703C0000}"/>
    <cellStyle name="Normal 190 4 2" xfId="15473" xr:uid="{00000000-0005-0000-0000-0000713C0000}"/>
    <cellStyle name="Normal 190 4 2 2" xfId="15474" xr:uid="{00000000-0005-0000-0000-0000723C0000}"/>
    <cellStyle name="Normal 190 4 3" xfId="15475" xr:uid="{00000000-0005-0000-0000-0000733C0000}"/>
    <cellStyle name="Normal 190 5" xfId="15476" xr:uid="{00000000-0005-0000-0000-0000743C0000}"/>
    <cellStyle name="Normal 190 5 2" xfId="15477" xr:uid="{00000000-0005-0000-0000-0000753C0000}"/>
    <cellStyle name="Normal 190 5 2 2" xfId="15478" xr:uid="{00000000-0005-0000-0000-0000763C0000}"/>
    <cellStyle name="Normal 190 5 3" xfId="15479" xr:uid="{00000000-0005-0000-0000-0000773C0000}"/>
    <cellStyle name="Normal 190 6" xfId="15480" xr:uid="{00000000-0005-0000-0000-0000783C0000}"/>
    <cellStyle name="Normal 190 6 2" xfId="15481" xr:uid="{00000000-0005-0000-0000-0000793C0000}"/>
    <cellStyle name="Normal 190 6 2 2" xfId="15482" xr:uid="{00000000-0005-0000-0000-00007A3C0000}"/>
    <cellStyle name="Normal 190 6 3" xfId="15483" xr:uid="{00000000-0005-0000-0000-00007B3C0000}"/>
    <cellStyle name="Normal 190 7" xfId="15484" xr:uid="{00000000-0005-0000-0000-00007C3C0000}"/>
    <cellStyle name="Normal 191" xfId="15485" xr:uid="{00000000-0005-0000-0000-00007D3C0000}"/>
    <cellStyle name="Normal 191 2" xfId="15486" xr:uid="{00000000-0005-0000-0000-00007E3C0000}"/>
    <cellStyle name="Normal 191 2 2" xfId="15487" xr:uid="{00000000-0005-0000-0000-00007F3C0000}"/>
    <cellStyle name="Normal 191 2 2 2" xfId="15488" xr:uid="{00000000-0005-0000-0000-0000803C0000}"/>
    <cellStyle name="Normal 191 2 3" xfId="15489" xr:uid="{00000000-0005-0000-0000-0000813C0000}"/>
    <cellStyle name="Normal 191 2 3 2" xfId="15490" xr:uid="{00000000-0005-0000-0000-0000823C0000}"/>
    <cellStyle name="Normal 191 2 3 2 2" xfId="15491" xr:uid="{00000000-0005-0000-0000-0000833C0000}"/>
    <cellStyle name="Normal 191 2 3 3" xfId="15492" xr:uid="{00000000-0005-0000-0000-0000843C0000}"/>
    <cellStyle name="Normal 191 2 4" xfId="15493" xr:uid="{00000000-0005-0000-0000-0000853C0000}"/>
    <cellStyle name="Normal 191 2 4 2" xfId="15494" xr:uid="{00000000-0005-0000-0000-0000863C0000}"/>
    <cellStyle name="Normal 191 2 4 2 2" xfId="15495" xr:uid="{00000000-0005-0000-0000-0000873C0000}"/>
    <cellStyle name="Normal 191 2 4 3" xfId="15496" xr:uid="{00000000-0005-0000-0000-0000883C0000}"/>
    <cellStyle name="Normal 191 2 5" xfId="15497" xr:uid="{00000000-0005-0000-0000-0000893C0000}"/>
    <cellStyle name="Normal 191 3" xfId="15498" xr:uid="{00000000-0005-0000-0000-00008A3C0000}"/>
    <cellStyle name="Normal 191 3 2" xfId="15499" xr:uid="{00000000-0005-0000-0000-00008B3C0000}"/>
    <cellStyle name="Normal 191 3 2 2" xfId="15500" xr:uid="{00000000-0005-0000-0000-00008C3C0000}"/>
    <cellStyle name="Normal 191 3 2 2 2" xfId="15501" xr:uid="{00000000-0005-0000-0000-00008D3C0000}"/>
    <cellStyle name="Normal 191 3 2 3" xfId="15502" xr:uid="{00000000-0005-0000-0000-00008E3C0000}"/>
    <cellStyle name="Normal 191 3 2 3 2" xfId="15503" xr:uid="{00000000-0005-0000-0000-00008F3C0000}"/>
    <cellStyle name="Normal 191 3 2 3 2 2" xfId="15504" xr:uid="{00000000-0005-0000-0000-0000903C0000}"/>
    <cellStyle name="Normal 191 3 2 3 3" xfId="15505" xr:uid="{00000000-0005-0000-0000-0000913C0000}"/>
    <cellStyle name="Normal 191 3 2 4" xfId="15506" xr:uid="{00000000-0005-0000-0000-0000923C0000}"/>
    <cellStyle name="Normal 191 3 3" xfId="15507" xr:uid="{00000000-0005-0000-0000-0000933C0000}"/>
    <cellStyle name="Normal 191 3 3 2" xfId="15508" xr:uid="{00000000-0005-0000-0000-0000943C0000}"/>
    <cellStyle name="Normal 191 3 3 2 2" xfId="15509" xr:uid="{00000000-0005-0000-0000-0000953C0000}"/>
    <cellStyle name="Normal 191 3 3 3" xfId="15510" xr:uid="{00000000-0005-0000-0000-0000963C0000}"/>
    <cellStyle name="Normal 191 3 4" xfId="15511" xr:uid="{00000000-0005-0000-0000-0000973C0000}"/>
    <cellStyle name="Normal 191 3 4 2" xfId="15512" xr:uid="{00000000-0005-0000-0000-0000983C0000}"/>
    <cellStyle name="Normal 191 3 4 2 2" xfId="15513" xr:uid="{00000000-0005-0000-0000-0000993C0000}"/>
    <cellStyle name="Normal 191 3 4 3" xfId="15514" xr:uid="{00000000-0005-0000-0000-00009A3C0000}"/>
    <cellStyle name="Normal 191 3 5" xfId="15515" xr:uid="{00000000-0005-0000-0000-00009B3C0000}"/>
    <cellStyle name="Normal 191 3 5 2" xfId="15516" xr:uid="{00000000-0005-0000-0000-00009C3C0000}"/>
    <cellStyle name="Normal 191 3 5 2 2" xfId="15517" xr:uid="{00000000-0005-0000-0000-00009D3C0000}"/>
    <cellStyle name="Normal 191 3 5 3" xfId="15518" xr:uid="{00000000-0005-0000-0000-00009E3C0000}"/>
    <cellStyle name="Normal 191 3 6" xfId="15519" xr:uid="{00000000-0005-0000-0000-00009F3C0000}"/>
    <cellStyle name="Normal 191 4" xfId="15520" xr:uid="{00000000-0005-0000-0000-0000A03C0000}"/>
    <cellStyle name="Normal 191 4 2" xfId="15521" xr:uid="{00000000-0005-0000-0000-0000A13C0000}"/>
    <cellStyle name="Normal 191 4 2 2" xfId="15522" xr:uid="{00000000-0005-0000-0000-0000A23C0000}"/>
    <cellStyle name="Normal 191 4 3" xfId="15523" xr:uid="{00000000-0005-0000-0000-0000A33C0000}"/>
    <cellStyle name="Normal 191 5" xfId="15524" xr:uid="{00000000-0005-0000-0000-0000A43C0000}"/>
    <cellStyle name="Normal 191 5 2" xfId="15525" xr:uid="{00000000-0005-0000-0000-0000A53C0000}"/>
    <cellStyle name="Normal 191 5 2 2" xfId="15526" xr:uid="{00000000-0005-0000-0000-0000A63C0000}"/>
    <cellStyle name="Normal 191 5 3" xfId="15527" xr:uid="{00000000-0005-0000-0000-0000A73C0000}"/>
    <cellStyle name="Normal 191 6" xfId="15528" xr:uid="{00000000-0005-0000-0000-0000A83C0000}"/>
    <cellStyle name="Normal 191 6 2" xfId="15529" xr:uid="{00000000-0005-0000-0000-0000A93C0000}"/>
    <cellStyle name="Normal 191 6 2 2" xfId="15530" xr:uid="{00000000-0005-0000-0000-0000AA3C0000}"/>
    <cellStyle name="Normal 191 6 3" xfId="15531" xr:uid="{00000000-0005-0000-0000-0000AB3C0000}"/>
    <cellStyle name="Normal 191 7" xfId="15532" xr:uid="{00000000-0005-0000-0000-0000AC3C0000}"/>
    <cellStyle name="Normal 192" xfId="15533" xr:uid="{00000000-0005-0000-0000-0000AD3C0000}"/>
    <cellStyle name="Normal 192 2" xfId="15534" xr:uid="{00000000-0005-0000-0000-0000AE3C0000}"/>
    <cellStyle name="Normal 192 2 2" xfId="15535" xr:uid="{00000000-0005-0000-0000-0000AF3C0000}"/>
    <cellStyle name="Normal 192 2 2 2" xfId="15536" xr:uid="{00000000-0005-0000-0000-0000B03C0000}"/>
    <cellStyle name="Normal 192 2 2 2 2" xfId="15537" xr:uid="{00000000-0005-0000-0000-0000B13C0000}"/>
    <cellStyle name="Normal 192 2 2 3" xfId="15538" xr:uid="{00000000-0005-0000-0000-0000B23C0000}"/>
    <cellStyle name="Normal 192 2 2 3 2" xfId="15539" xr:uid="{00000000-0005-0000-0000-0000B33C0000}"/>
    <cellStyle name="Normal 192 2 2 3 2 2" xfId="15540" xr:uid="{00000000-0005-0000-0000-0000B43C0000}"/>
    <cellStyle name="Normal 192 2 2 3 3" xfId="15541" xr:uid="{00000000-0005-0000-0000-0000B53C0000}"/>
    <cellStyle name="Normal 192 2 2 4" xfId="15542" xr:uid="{00000000-0005-0000-0000-0000B63C0000}"/>
    <cellStyle name="Normal 192 2 2 4 2" xfId="15543" xr:uid="{00000000-0005-0000-0000-0000B73C0000}"/>
    <cellStyle name="Normal 192 2 2 4 2 2" xfId="15544" xr:uid="{00000000-0005-0000-0000-0000B83C0000}"/>
    <cellStyle name="Normal 192 2 2 4 3" xfId="15545" xr:uid="{00000000-0005-0000-0000-0000B93C0000}"/>
    <cellStyle name="Normal 192 2 2 5" xfId="15546" xr:uid="{00000000-0005-0000-0000-0000BA3C0000}"/>
    <cellStyle name="Normal 192 2 3" xfId="15547" xr:uid="{00000000-0005-0000-0000-0000BB3C0000}"/>
    <cellStyle name="Normal 192 2 3 2" xfId="15548" xr:uid="{00000000-0005-0000-0000-0000BC3C0000}"/>
    <cellStyle name="Normal 192 2 3 2 2" xfId="15549" xr:uid="{00000000-0005-0000-0000-0000BD3C0000}"/>
    <cellStyle name="Normal 192 2 3 2 2 2" xfId="15550" xr:uid="{00000000-0005-0000-0000-0000BE3C0000}"/>
    <cellStyle name="Normal 192 2 3 2 3" xfId="15551" xr:uid="{00000000-0005-0000-0000-0000BF3C0000}"/>
    <cellStyle name="Normal 192 2 3 2 3 2" xfId="15552" xr:uid="{00000000-0005-0000-0000-0000C03C0000}"/>
    <cellStyle name="Normal 192 2 3 2 3 2 2" xfId="15553" xr:uid="{00000000-0005-0000-0000-0000C13C0000}"/>
    <cellStyle name="Normal 192 2 3 2 3 3" xfId="15554" xr:uid="{00000000-0005-0000-0000-0000C23C0000}"/>
    <cellStyle name="Normal 192 2 3 2 4" xfId="15555" xr:uid="{00000000-0005-0000-0000-0000C33C0000}"/>
    <cellStyle name="Normal 192 2 3 3" xfId="15556" xr:uid="{00000000-0005-0000-0000-0000C43C0000}"/>
    <cellStyle name="Normal 192 2 3 3 2" xfId="15557" xr:uid="{00000000-0005-0000-0000-0000C53C0000}"/>
    <cellStyle name="Normal 192 2 3 3 2 2" xfId="15558" xr:uid="{00000000-0005-0000-0000-0000C63C0000}"/>
    <cellStyle name="Normal 192 2 3 3 3" xfId="15559" xr:uid="{00000000-0005-0000-0000-0000C73C0000}"/>
    <cellStyle name="Normal 192 2 3 4" xfId="15560" xr:uid="{00000000-0005-0000-0000-0000C83C0000}"/>
    <cellStyle name="Normal 192 2 3 4 2" xfId="15561" xr:uid="{00000000-0005-0000-0000-0000C93C0000}"/>
    <cellStyle name="Normal 192 2 3 4 2 2" xfId="15562" xr:uid="{00000000-0005-0000-0000-0000CA3C0000}"/>
    <cellStyle name="Normal 192 2 3 4 3" xfId="15563" xr:uid="{00000000-0005-0000-0000-0000CB3C0000}"/>
    <cellStyle name="Normal 192 2 3 5" xfId="15564" xr:uid="{00000000-0005-0000-0000-0000CC3C0000}"/>
    <cellStyle name="Normal 192 2 3 5 2" xfId="15565" xr:uid="{00000000-0005-0000-0000-0000CD3C0000}"/>
    <cellStyle name="Normal 192 2 3 5 2 2" xfId="15566" xr:uid="{00000000-0005-0000-0000-0000CE3C0000}"/>
    <cellStyle name="Normal 192 2 3 5 3" xfId="15567" xr:uid="{00000000-0005-0000-0000-0000CF3C0000}"/>
    <cellStyle name="Normal 192 2 3 6" xfId="15568" xr:uid="{00000000-0005-0000-0000-0000D03C0000}"/>
    <cellStyle name="Normal 192 2 4" xfId="15569" xr:uid="{00000000-0005-0000-0000-0000D13C0000}"/>
    <cellStyle name="Normal 192 2 4 2" xfId="15570" xr:uid="{00000000-0005-0000-0000-0000D23C0000}"/>
    <cellStyle name="Normal 192 2 4 2 2" xfId="15571" xr:uid="{00000000-0005-0000-0000-0000D33C0000}"/>
    <cellStyle name="Normal 192 2 4 3" xfId="15572" xr:uid="{00000000-0005-0000-0000-0000D43C0000}"/>
    <cellStyle name="Normal 192 2 5" xfId="15573" xr:uid="{00000000-0005-0000-0000-0000D53C0000}"/>
    <cellStyle name="Normal 192 2 5 2" xfId="15574" xr:uid="{00000000-0005-0000-0000-0000D63C0000}"/>
    <cellStyle name="Normal 192 2 5 2 2" xfId="15575" xr:uid="{00000000-0005-0000-0000-0000D73C0000}"/>
    <cellStyle name="Normal 192 2 5 3" xfId="15576" xr:uid="{00000000-0005-0000-0000-0000D83C0000}"/>
    <cellStyle name="Normal 192 2 6" xfId="15577" xr:uid="{00000000-0005-0000-0000-0000D93C0000}"/>
    <cellStyle name="Normal 192 2 6 2" xfId="15578" xr:uid="{00000000-0005-0000-0000-0000DA3C0000}"/>
    <cellStyle name="Normal 192 2 6 2 2" xfId="15579" xr:uid="{00000000-0005-0000-0000-0000DB3C0000}"/>
    <cellStyle name="Normal 192 2 6 3" xfId="15580" xr:uid="{00000000-0005-0000-0000-0000DC3C0000}"/>
    <cellStyle name="Normal 192 2 7" xfId="15581" xr:uid="{00000000-0005-0000-0000-0000DD3C0000}"/>
    <cellStyle name="Normal 192 3" xfId="15582" xr:uid="{00000000-0005-0000-0000-0000DE3C0000}"/>
    <cellStyle name="Normal 192 3 2" xfId="15583" xr:uid="{00000000-0005-0000-0000-0000DF3C0000}"/>
    <cellStyle name="Normal 192 3 2 2" xfId="15584" xr:uid="{00000000-0005-0000-0000-0000E03C0000}"/>
    <cellStyle name="Normal 192 3 3" xfId="15585" xr:uid="{00000000-0005-0000-0000-0000E13C0000}"/>
    <cellStyle name="Normal 192 3 3 2" xfId="15586" xr:uid="{00000000-0005-0000-0000-0000E23C0000}"/>
    <cellStyle name="Normal 192 3 3 2 2" xfId="15587" xr:uid="{00000000-0005-0000-0000-0000E33C0000}"/>
    <cellStyle name="Normal 192 3 3 3" xfId="15588" xr:uid="{00000000-0005-0000-0000-0000E43C0000}"/>
    <cellStyle name="Normal 192 3 4" xfId="15589" xr:uid="{00000000-0005-0000-0000-0000E53C0000}"/>
    <cellStyle name="Normal 192 3 4 2" xfId="15590" xr:uid="{00000000-0005-0000-0000-0000E63C0000}"/>
    <cellStyle name="Normal 192 3 4 2 2" xfId="15591" xr:uid="{00000000-0005-0000-0000-0000E73C0000}"/>
    <cellStyle name="Normal 192 3 4 3" xfId="15592" xr:uid="{00000000-0005-0000-0000-0000E83C0000}"/>
    <cellStyle name="Normal 192 3 5" xfId="15593" xr:uid="{00000000-0005-0000-0000-0000E93C0000}"/>
    <cellStyle name="Normal 192 4" xfId="15594" xr:uid="{00000000-0005-0000-0000-0000EA3C0000}"/>
    <cellStyle name="Normal 192 4 2" xfId="15595" xr:uid="{00000000-0005-0000-0000-0000EB3C0000}"/>
    <cellStyle name="Normal 192 4 2 2" xfId="15596" xr:uid="{00000000-0005-0000-0000-0000EC3C0000}"/>
    <cellStyle name="Normal 192 4 2 2 2" xfId="15597" xr:uid="{00000000-0005-0000-0000-0000ED3C0000}"/>
    <cellStyle name="Normal 192 4 2 3" xfId="15598" xr:uid="{00000000-0005-0000-0000-0000EE3C0000}"/>
    <cellStyle name="Normal 192 4 2 3 2" xfId="15599" xr:uid="{00000000-0005-0000-0000-0000EF3C0000}"/>
    <cellStyle name="Normal 192 4 2 3 2 2" xfId="15600" xr:uid="{00000000-0005-0000-0000-0000F03C0000}"/>
    <cellStyle name="Normal 192 4 2 3 3" xfId="15601" xr:uid="{00000000-0005-0000-0000-0000F13C0000}"/>
    <cellStyle name="Normal 192 4 2 4" xfId="15602" xr:uid="{00000000-0005-0000-0000-0000F23C0000}"/>
    <cellStyle name="Normal 192 4 3" xfId="15603" xr:uid="{00000000-0005-0000-0000-0000F33C0000}"/>
    <cellStyle name="Normal 192 4 3 2" xfId="15604" xr:uid="{00000000-0005-0000-0000-0000F43C0000}"/>
    <cellStyle name="Normal 192 4 3 2 2" xfId="15605" xr:uid="{00000000-0005-0000-0000-0000F53C0000}"/>
    <cellStyle name="Normal 192 4 3 3" xfId="15606" xr:uid="{00000000-0005-0000-0000-0000F63C0000}"/>
    <cellStyle name="Normal 192 4 4" xfId="15607" xr:uid="{00000000-0005-0000-0000-0000F73C0000}"/>
    <cellStyle name="Normal 192 4 4 2" xfId="15608" xr:uid="{00000000-0005-0000-0000-0000F83C0000}"/>
    <cellStyle name="Normal 192 4 4 2 2" xfId="15609" xr:uid="{00000000-0005-0000-0000-0000F93C0000}"/>
    <cellStyle name="Normal 192 4 4 3" xfId="15610" xr:uid="{00000000-0005-0000-0000-0000FA3C0000}"/>
    <cellStyle name="Normal 192 4 5" xfId="15611" xr:uid="{00000000-0005-0000-0000-0000FB3C0000}"/>
    <cellStyle name="Normal 192 4 5 2" xfId="15612" xr:uid="{00000000-0005-0000-0000-0000FC3C0000}"/>
    <cellStyle name="Normal 192 4 5 2 2" xfId="15613" xr:uid="{00000000-0005-0000-0000-0000FD3C0000}"/>
    <cellStyle name="Normal 192 4 5 3" xfId="15614" xr:uid="{00000000-0005-0000-0000-0000FE3C0000}"/>
    <cellStyle name="Normal 192 4 6" xfId="15615" xr:uid="{00000000-0005-0000-0000-0000FF3C0000}"/>
    <cellStyle name="Normal 192 5" xfId="15616" xr:uid="{00000000-0005-0000-0000-0000003D0000}"/>
    <cellStyle name="Normal 192 5 2" xfId="15617" xr:uid="{00000000-0005-0000-0000-0000013D0000}"/>
    <cellStyle name="Normal 192 5 2 2" xfId="15618" xr:uid="{00000000-0005-0000-0000-0000023D0000}"/>
    <cellStyle name="Normal 192 5 3" xfId="15619" xr:uid="{00000000-0005-0000-0000-0000033D0000}"/>
    <cellStyle name="Normal 192 6" xfId="15620" xr:uid="{00000000-0005-0000-0000-0000043D0000}"/>
    <cellStyle name="Normal 192 6 2" xfId="15621" xr:uid="{00000000-0005-0000-0000-0000053D0000}"/>
    <cellStyle name="Normal 192 6 2 2" xfId="15622" xr:uid="{00000000-0005-0000-0000-0000063D0000}"/>
    <cellStyle name="Normal 192 6 3" xfId="15623" xr:uid="{00000000-0005-0000-0000-0000073D0000}"/>
    <cellStyle name="Normal 192 7" xfId="15624" xr:uid="{00000000-0005-0000-0000-0000083D0000}"/>
    <cellStyle name="Normal 192 7 2" xfId="15625" xr:uid="{00000000-0005-0000-0000-0000093D0000}"/>
    <cellStyle name="Normal 192 7 2 2" xfId="15626" xr:uid="{00000000-0005-0000-0000-00000A3D0000}"/>
    <cellStyle name="Normal 192 7 3" xfId="15627" xr:uid="{00000000-0005-0000-0000-00000B3D0000}"/>
    <cellStyle name="Normal 192 8" xfId="15628" xr:uid="{00000000-0005-0000-0000-00000C3D0000}"/>
    <cellStyle name="Normal 193" xfId="15629" xr:uid="{00000000-0005-0000-0000-00000D3D0000}"/>
    <cellStyle name="Normal 193 2" xfId="15630" xr:uid="{00000000-0005-0000-0000-00000E3D0000}"/>
    <cellStyle name="Normal 193 2 2" xfId="15631" xr:uid="{00000000-0005-0000-0000-00000F3D0000}"/>
    <cellStyle name="Normal 193 2 2 2" xfId="15632" xr:uid="{00000000-0005-0000-0000-0000103D0000}"/>
    <cellStyle name="Normal 193 2 2 2 2" xfId="15633" xr:uid="{00000000-0005-0000-0000-0000113D0000}"/>
    <cellStyle name="Normal 193 2 2 3" xfId="15634" xr:uid="{00000000-0005-0000-0000-0000123D0000}"/>
    <cellStyle name="Normal 193 2 2 3 2" xfId="15635" xr:uid="{00000000-0005-0000-0000-0000133D0000}"/>
    <cellStyle name="Normal 193 2 2 3 2 2" xfId="15636" xr:uid="{00000000-0005-0000-0000-0000143D0000}"/>
    <cellStyle name="Normal 193 2 2 3 3" xfId="15637" xr:uid="{00000000-0005-0000-0000-0000153D0000}"/>
    <cellStyle name="Normal 193 2 2 4" xfId="15638" xr:uid="{00000000-0005-0000-0000-0000163D0000}"/>
    <cellStyle name="Normal 193 2 2 4 2" xfId="15639" xr:uid="{00000000-0005-0000-0000-0000173D0000}"/>
    <cellStyle name="Normal 193 2 2 4 2 2" xfId="15640" xr:uid="{00000000-0005-0000-0000-0000183D0000}"/>
    <cellStyle name="Normal 193 2 2 4 3" xfId="15641" xr:uid="{00000000-0005-0000-0000-0000193D0000}"/>
    <cellStyle name="Normal 193 2 2 5" xfId="15642" xr:uid="{00000000-0005-0000-0000-00001A3D0000}"/>
    <cellStyle name="Normal 193 2 3" xfId="15643" xr:uid="{00000000-0005-0000-0000-00001B3D0000}"/>
    <cellStyle name="Normal 193 2 3 2" xfId="15644" xr:uid="{00000000-0005-0000-0000-00001C3D0000}"/>
    <cellStyle name="Normal 193 2 3 2 2" xfId="15645" xr:uid="{00000000-0005-0000-0000-00001D3D0000}"/>
    <cellStyle name="Normal 193 2 3 2 2 2" xfId="15646" xr:uid="{00000000-0005-0000-0000-00001E3D0000}"/>
    <cellStyle name="Normal 193 2 3 2 3" xfId="15647" xr:uid="{00000000-0005-0000-0000-00001F3D0000}"/>
    <cellStyle name="Normal 193 2 3 2 3 2" xfId="15648" xr:uid="{00000000-0005-0000-0000-0000203D0000}"/>
    <cellStyle name="Normal 193 2 3 2 3 2 2" xfId="15649" xr:uid="{00000000-0005-0000-0000-0000213D0000}"/>
    <cellStyle name="Normal 193 2 3 2 3 3" xfId="15650" xr:uid="{00000000-0005-0000-0000-0000223D0000}"/>
    <cellStyle name="Normal 193 2 3 2 4" xfId="15651" xr:uid="{00000000-0005-0000-0000-0000233D0000}"/>
    <cellStyle name="Normal 193 2 3 3" xfId="15652" xr:uid="{00000000-0005-0000-0000-0000243D0000}"/>
    <cellStyle name="Normal 193 2 3 3 2" xfId="15653" xr:uid="{00000000-0005-0000-0000-0000253D0000}"/>
    <cellStyle name="Normal 193 2 3 3 2 2" xfId="15654" xr:uid="{00000000-0005-0000-0000-0000263D0000}"/>
    <cellStyle name="Normal 193 2 3 3 3" xfId="15655" xr:uid="{00000000-0005-0000-0000-0000273D0000}"/>
    <cellStyle name="Normal 193 2 3 4" xfId="15656" xr:uid="{00000000-0005-0000-0000-0000283D0000}"/>
    <cellStyle name="Normal 193 2 3 4 2" xfId="15657" xr:uid="{00000000-0005-0000-0000-0000293D0000}"/>
    <cellStyle name="Normal 193 2 3 4 2 2" xfId="15658" xr:uid="{00000000-0005-0000-0000-00002A3D0000}"/>
    <cellStyle name="Normal 193 2 3 4 3" xfId="15659" xr:uid="{00000000-0005-0000-0000-00002B3D0000}"/>
    <cellStyle name="Normal 193 2 3 5" xfId="15660" xr:uid="{00000000-0005-0000-0000-00002C3D0000}"/>
    <cellStyle name="Normal 193 2 3 5 2" xfId="15661" xr:uid="{00000000-0005-0000-0000-00002D3D0000}"/>
    <cellStyle name="Normal 193 2 3 5 2 2" xfId="15662" xr:uid="{00000000-0005-0000-0000-00002E3D0000}"/>
    <cellStyle name="Normal 193 2 3 5 3" xfId="15663" xr:uid="{00000000-0005-0000-0000-00002F3D0000}"/>
    <cellStyle name="Normal 193 2 3 6" xfId="15664" xr:uid="{00000000-0005-0000-0000-0000303D0000}"/>
    <cellStyle name="Normal 193 2 4" xfId="15665" xr:uid="{00000000-0005-0000-0000-0000313D0000}"/>
    <cellStyle name="Normal 193 2 4 2" xfId="15666" xr:uid="{00000000-0005-0000-0000-0000323D0000}"/>
    <cellStyle name="Normal 193 2 4 2 2" xfId="15667" xr:uid="{00000000-0005-0000-0000-0000333D0000}"/>
    <cellStyle name="Normal 193 2 4 3" xfId="15668" xr:uid="{00000000-0005-0000-0000-0000343D0000}"/>
    <cellStyle name="Normal 193 2 5" xfId="15669" xr:uid="{00000000-0005-0000-0000-0000353D0000}"/>
    <cellStyle name="Normal 193 2 5 2" xfId="15670" xr:uid="{00000000-0005-0000-0000-0000363D0000}"/>
    <cellStyle name="Normal 193 2 5 2 2" xfId="15671" xr:uid="{00000000-0005-0000-0000-0000373D0000}"/>
    <cellStyle name="Normal 193 2 5 3" xfId="15672" xr:uid="{00000000-0005-0000-0000-0000383D0000}"/>
    <cellStyle name="Normal 193 2 6" xfId="15673" xr:uid="{00000000-0005-0000-0000-0000393D0000}"/>
    <cellStyle name="Normal 193 2 6 2" xfId="15674" xr:uid="{00000000-0005-0000-0000-00003A3D0000}"/>
    <cellStyle name="Normal 193 2 6 2 2" xfId="15675" xr:uid="{00000000-0005-0000-0000-00003B3D0000}"/>
    <cellStyle name="Normal 193 2 6 3" xfId="15676" xr:uid="{00000000-0005-0000-0000-00003C3D0000}"/>
    <cellStyle name="Normal 193 2 7" xfId="15677" xr:uid="{00000000-0005-0000-0000-00003D3D0000}"/>
    <cellStyle name="Normal 193 3" xfId="15678" xr:uid="{00000000-0005-0000-0000-00003E3D0000}"/>
    <cellStyle name="Normal 193 3 2" xfId="15679" xr:uid="{00000000-0005-0000-0000-00003F3D0000}"/>
    <cellStyle name="Normal 193 3 2 2" xfId="15680" xr:uid="{00000000-0005-0000-0000-0000403D0000}"/>
    <cellStyle name="Normal 193 3 3" xfId="15681" xr:uid="{00000000-0005-0000-0000-0000413D0000}"/>
    <cellStyle name="Normal 193 3 3 2" xfId="15682" xr:uid="{00000000-0005-0000-0000-0000423D0000}"/>
    <cellStyle name="Normal 193 3 3 2 2" xfId="15683" xr:uid="{00000000-0005-0000-0000-0000433D0000}"/>
    <cellStyle name="Normal 193 3 3 3" xfId="15684" xr:uid="{00000000-0005-0000-0000-0000443D0000}"/>
    <cellStyle name="Normal 193 3 4" xfId="15685" xr:uid="{00000000-0005-0000-0000-0000453D0000}"/>
    <cellStyle name="Normal 193 3 4 2" xfId="15686" xr:uid="{00000000-0005-0000-0000-0000463D0000}"/>
    <cellStyle name="Normal 193 3 4 2 2" xfId="15687" xr:uid="{00000000-0005-0000-0000-0000473D0000}"/>
    <cellStyle name="Normal 193 3 4 3" xfId="15688" xr:uid="{00000000-0005-0000-0000-0000483D0000}"/>
    <cellStyle name="Normal 193 3 5" xfId="15689" xr:uid="{00000000-0005-0000-0000-0000493D0000}"/>
    <cellStyle name="Normal 193 4" xfId="15690" xr:uid="{00000000-0005-0000-0000-00004A3D0000}"/>
    <cellStyle name="Normal 193 4 2" xfId="15691" xr:uid="{00000000-0005-0000-0000-00004B3D0000}"/>
    <cellStyle name="Normal 193 4 2 2" xfId="15692" xr:uid="{00000000-0005-0000-0000-00004C3D0000}"/>
    <cellStyle name="Normal 193 4 2 2 2" xfId="15693" xr:uid="{00000000-0005-0000-0000-00004D3D0000}"/>
    <cellStyle name="Normal 193 4 2 3" xfId="15694" xr:uid="{00000000-0005-0000-0000-00004E3D0000}"/>
    <cellStyle name="Normal 193 4 2 3 2" xfId="15695" xr:uid="{00000000-0005-0000-0000-00004F3D0000}"/>
    <cellStyle name="Normal 193 4 2 3 2 2" xfId="15696" xr:uid="{00000000-0005-0000-0000-0000503D0000}"/>
    <cellStyle name="Normal 193 4 2 3 3" xfId="15697" xr:uid="{00000000-0005-0000-0000-0000513D0000}"/>
    <cellStyle name="Normal 193 4 2 4" xfId="15698" xr:uid="{00000000-0005-0000-0000-0000523D0000}"/>
    <cellStyle name="Normal 193 4 3" xfId="15699" xr:uid="{00000000-0005-0000-0000-0000533D0000}"/>
    <cellStyle name="Normal 193 4 3 2" xfId="15700" xr:uid="{00000000-0005-0000-0000-0000543D0000}"/>
    <cellStyle name="Normal 193 4 3 2 2" xfId="15701" xr:uid="{00000000-0005-0000-0000-0000553D0000}"/>
    <cellStyle name="Normal 193 4 3 3" xfId="15702" xr:uid="{00000000-0005-0000-0000-0000563D0000}"/>
    <cellStyle name="Normal 193 4 4" xfId="15703" xr:uid="{00000000-0005-0000-0000-0000573D0000}"/>
    <cellStyle name="Normal 193 4 4 2" xfId="15704" xr:uid="{00000000-0005-0000-0000-0000583D0000}"/>
    <cellStyle name="Normal 193 4 4 2 2" xfId="15705" xr:uid="{00000000-0005-0000-0000-0000593D0000}"/>
    <cellStyle name="Normal 193 4 4 3" xfId="15706" xr:uid="{00000000-0005-0000-0000-00005A3D0000}"/>
    <cellStyle name="Normal 193 4 5" xfId="15707" xr:uid="{00000000-0005-0000-0000-00005B3D0000}"/>
    <cellStyle name="Normal 193 4 5 2" xfId="15708" xr:uid="{00000000-0005-0000-0000-00005C3D0000}"/>
    <cellStyle name="Normal 193 4 5 2 2" xfId="15709" xr:uid="{00000000-0005-0000-0000-00005D3D0000}"/>
    <cellStyle name="Normal 193 4 5 3" xfId="15710" xr:uid="{00000000-0005-0000-0000-00005E3D0000}"/>
    <cellStyle name="Normal 193 4 6" xfId="15711" xr:uid="{00000000-0005-0000-0000-00005F3D0000}"/>
    <cellStyle name="Normal 193 5" xfId="15712" xr:uid="{00000000-0005-0000-0000-0000603D0000}"/>
    <cellStyle name="Normal 193 5 2" xfId="15713" xr:uid="{00000000-0005-0000-0000-0000613D0000}"/>
    <cellStyle name="Normal 193 5 2 2" xfId="15714" xr:uid="{00000000-0005-0000-0000-0000623D0000}"/>
    <cellStyle name="Normal 193 5 3" xfId="15715" xr:uid="{00000000-0005-0000-0000-0000633D0000}"/>
    <cellStyle name="Normal 193 6" xfId="15716" xr:uid="{00000000-0005-0000-0000-0000643D0000}"/>
    <cellStyle name="Normal 193 6 2" xfId="15717" xr:uid="{00000000-0005-0000-0000-0000653D0000}"/>
    <cellStyle name="Normal 193 6 2 2" xfId="15718" xr:uid="{00000000-0005-0000-0000-0000663D0000}"/>
    <cellStyle name="Normal 193 6 3" xfId="15719" xr:uid="{00000000-0005-0000-0000-0000673D0000}"/>
    <cellStyle name="Normal 193 7" xfId="15720" xr:uid="{00000000-0005-0000-0000-0000683D0000}"/>
    <cellStyle name="Normal 193 7 2" xfId="15721" xr:uid="{00000000-0005-0000-0000-0000693D0000}"/>
    <cellStyle name="Normal 193 7 2 2" xfId="15722" xr:uid="{00000000-0005-0000-0000-00006A3D0000}"/>
    <cellStyle name="Normal 193 7 3" xfId="15723" xr:uid="{00000000-0005-0000-0000-00006B3D0000}"/>
    <cellStyle name="Normal 193 8" xfId="15724" xr:uid="{00000000-0005-0000-0000-00006C3D0000}"/>
    <cellStyle name="Normal 194" xfId="15725" xr:uid="{00000000-0005-0000-0000-00006D3D0000}"/>
    <cellStyle name="Normal 194 2" xfId="15726" xr:uid="{00000000-0005-0000-0000-00006E3D0000}"/>
    <cellStyle name="Normal 194 2 2" xfId="15727" xr:uid="{00000000-0005-0000-0000-00006F3D0000}"/>
    <cellStyle name="Normal 194 2 2 2" xfId="15728" xr:uid="{00000000-0005-0000-0000-0000703D0000}"/>
    <cellStyle name="Normal 194 2 2 2 2" xfId="15729" xr:uid="{00000000-0005-0000-0000-0000713D0000}"/>
    <cellStyle name="Normal 194 2 2 3" xfId="15730" xr:uid="{00000000-0005-0000-0000-0000723D0000}"/>
    <cellStyle name="Normal 194 2 2 3 2" xfId="15731" xr:uid="{00000000-0005-0000-0000-0000733D0000}"/>
    <cellStyle name="Normal 194 2 2 3 2 2" xfId="15732" xr:uid="{00000000-0005-0000-0000-0000743D0000}"/>
    <cellStyle name="Normal 194 2 2 3 3" xfId="15733" xr:uid="{00000000-0005-0000-0000-0000753D0000}"/>
    <cellStyle name="Normal 194 2 2 4" xfId="15734" xr:uid="{00000000-0005-0000-0000-0000763D0000}"/>
    <cellStyle name="Normal 194 2 2 4 2" xfId="15735" xr:uid="{00000000-0005-0000-0000-0000773D0000}"/>
    <cellStyle name="Normal 194 2 2 4 2 2" xfId="15736" xr:uid="{00000000-0005-0000-0000-0000783D0000}"/>
    <cellStyle name="Normal 194 2 2 4 3" xfId="15737" xr:uid="{00000000-0005-0000-0000-0000793D0000}"/>
    <cellStyle name="Normal 194 2 2 5" xfId="15738" xr:uid="{00000000-0005-0000-0000-00007A3D0000}"/>
    <cellStyle name="Normal 194 2 3" xfId="15739" xr:uid="{00000000-0005-0000-0000-00007B3D0000}"/>
    <cellStyle name="Normal 194 2 3 2" xfId="15740" xr:uid="{00000000-0005-0000-0000-00007C3D0000}"/>
    <cellStyle name="Normal 194 2 3 2 2" xfId="15741" xr:uid="{00000000-0005-0000-0000-00007D3D0000}"/>
    <cellStyle name="Normal 194 2 3 2 2 2" xfId="15742" xr:uid="{00000000-0005-0000-0000-00007E3D0000}"/>
    <cellStyle name="Normal 194 2 3 2 3" xfId="15743" xr:uid="{00000000-0005-0000-0000-00007F3D0000}"/>
    <cellStyle name="Normal 194 2 3 2 3 2" xfId="15744" xr:uid="{00000000-0005-0000-0000-0000803D0000}"/>
    <cellStyle name="Normal 194 2 3 2 3 2 2" xfId="15745" xr:uid="{00000000-0005-0000-0000-0000813D0000}"/>
    <cellStyle name="Normal 194 2 3 2 3 3" xfId="15746" xr:uid="{00000000-0005-0000-0000-0000823D0000}"/>
    <cellStyle name="Normal 194 2 3 2 4" xfId="15747" xr:uid="{00000000-0005-0000-0000-0000833D0000}"/>
    <cellStyle name="Normal 194 2 3 3" xfId="15748" xr:uid="{00000000-0005-0000-0000-0000843D0000}"/>
    <cellStyle name="Normal 194 2 3 3 2" xfId="15749" xr:uid="{00000000-0005-0000-0000-0000853D0000}"/>
    <cellStyle name="Normal 194 2 3 3 2 2" xfId="15750" xr:uid="{00000000-0005-0000-0000-0000863D0000}"/>
    <cellStyle name="Normal 194 2 3 3 3" xfId="15751" xr:uid="{00000000-0005-0000-0000-0000873D0000}"/>
    <cellStyle name="Normal 194 2 3 4" xfId="15752" xr:uid="{00000000-0005-0000-0000-0000883D0000}"/>
    <cellStyle name="Normal 194 2 3 4 2" xfId="15753" xr:uid="{00000000-0005-0000-0000-0000893D0000}"/>
    <cellStyle name="Normal 194 2 3 4 2 2" xfId="15754" xr:uid="{00000000-0005-0000-0000-00008A3D0000}"/>
    <cellStyle name="Normal 194 2 3 4 3" xfId="15755" xr:uid="{00000000-0005-0000-0000-00008B3D0000}"/>
    <cellStyle name="Normal 194 2 3 5" xfId="15756" xr:uid="{00000000-0005-0000-0000-00008C3D0000}"/>
    <cellStyle name="Normal 194 2 3 5 2" xfId="15757" xr:uid="{00000000-0005-0000-0000-00008D3D0000}"/>
    <cellStyle name="Normal 194 2 3 5 2 2" xfId="15758" xr:uid="{00000000-0005-0000-0000-00008E3D0000}"/>
    <cellStyle name="Normal 194 2 3 5 3" xfId="15759" xr:uid="{00000000-0005-0000-0000-00008F3D0000}"/>
    <cellStyle name="Normal 194 2 3 6" xfId="15760" xr:uid="{00000000-0005-0000-0000-0000903D0000}"/>
    <cellStyle name="Normal 194 2 4" xfId="15761" xr:uid="{00000000-0005-0000-0000-0000913D0000}"/>
    <cellStyle name="Normal 194 2 4 2" xfId="15762" xr:uid="{00000000-0005-0000-0000-0000923D0000}"/>
    <cellStyle name="Normal 194 2 4 2 2" xfId="15763" xr:uid="{00000000-0005-0000-0000-0000933D0000}"/>
    <cellStyle name="Normal 194 2 4 3" xfId="15764" xr:uid="{00000000-0005-0000-0000-0000943D0000}"/>
    <cellStyle name="Normal 194 2 5" xfId="15765" xr:uid="{00000000-0005-0000-0000-0000953D0000}"/>
    <cellStyle name="Normal 194 2 5 2" xfId="15766" xr:uid="{00000000-0005-0000-0000-0000963D0000}"/>
    <cellStyle name="Normal 194 2 5 2 2" xfId="15767" xr:uid="{00000000-0005-0000-0000-0000973D0000}"/>
    <cellStyle name="Normal 194 2 5 3" xfId="15768" xr:uid="{00000000-0005-0000-0000-0000983D0000}"/>
    <cellStyle name="Normal 194 2 6" xfId="15769" xr:uid="{00000000-0005-0000-0000-0000993D0000}"/>
    <cellStyle name="Normal 194 2 6 2" xfId="15770" xr:uid="{00000000-0005-0000-0000-00009A3D0000}"/>
    <cellStyle name="Normal 194 2 6 2 2" xfId="15771" xr:uid="{00000000-0005-0000-0000-00009B3D0000}"/>
    <cellStyle name="Normal 194 2 6 3" xfId="15772" xr:uid="{00000000-0005-0000-0000-00009C3D0000}"/>
    <cellStyle name="Normal 194 2 7" xfId="15773" xr:uid="{00000000-0005-0000-0000-00009D3D0000}"/>
    <cellStyle name="Normal 194 3" xfId="15774" xr:uid="{00000000-0005-0000-0000-00009E3D0000}"/>
    <cellStyle name="Normal 194 3 2" xfId="15775" xr:uid="{00000000-0005-0000-0000-00009F3D0000}"/>
    <cellStyle name="Normal 194 3 2 2" xfId="15776" xr:uid="{00000000-0005-0000-0000-0000A03D0000}"/>
    <cellStyle name="Normal 194 3 3" xfId="15777" xr:uid="{00000000-0005-0000-0000-0000A13D0000}"/>
    <cellStyle name="Normal 194 3 3 2" xfId="15778" xr:uid="{00000000-0005-0000-0000-0000A23D0000}"/>
    <cellStyle name="Normal 194 3 3 2 2" xfId="15779" xr:uid="{00000000-0005-0000-0000-0000A33D0000}"/>
    <cellStyle name="Normal 194 3 3 3" xfId="15780" xr:uid="{00000000-0005-0000-0000-0000A43D0000}"/>
    <cellStyle name="Normal 194 3 4" xfId="15781" xr:uid="{00000000-0005-0000-0000-0000A53D0000}"/>
    <cellStyle name="Normal 194 3 4 2" xfId="15782" xr:uid="{00000000-0005-0000-0000-0000A63D0000}"/>
    <cellStyle name="Normal 194 3 4 2 2" xfId="15783" xr:uid="{00000000-0005-0000-0000-0000A73D0000}"/>
    <cellStyle name="Normal 194 3 4 3" xfId="15784" xr:uid="{00000000-0005-0000-0000-0000A83D0000}"/>
    <cellStyle name="Normal 194 3 5" xfId="15785" xr:uid="{00000000-0005-0000-0000-0000A93D0000}"/>
    <cellStyle name="Normal 194 4" xfId="15786" xr:uid="{00000000-0005-0000-0000-0000AA3D0000}"/>
    <cellStyle name="Normal 194 4 2" xfId="15787" xr:uid="{00000000-0005-0000-0000-0000AB3D0000}"/>
    <cellStyle name="Normal 194 4 2 2" xfId="15788" xr:uid="{00000000-0005-0000-0000-0000AC3D0000}"/>
    <cellStyle name="Normal 194 4 2 2 2" xfId="15789" xr:uid="{00000000-0005-0000-0000-0000AD3D0000}"/>
    <cellStyle name="Normal 194 4 2 3" xfId="15790" xr:uid="{00000000-0005-0000-0000-0000AE3D0000}"/>
    <cellStyle name="Normal 194 4 2 3 2" xfId="15791" xr:uid="{00000000-0005-0000-0000-0000AF3D0000}"/>
    <cellStyle name="Normal 194 4 2 3 2 2" xfId="15792" xr:uid="{00000000-0005-0000-0000-0000B03D0000}"/>
    <cellStyle name="Normal 194 4 2 3 3" xfId="15793" xr:uid="{00000000-0005-0000-0000-0000B13D0000}"/>
    <cellStyle name="Normal 194 4 2 4" xfId="15794" xr:uid="{00000000-0005-0000-0000-0000B23D0000}"/>
    <cellStyle name="Normal 194 4 3" xfId="15795" xr:uid="{00000000-0005-0000-0000-0000B33D0000}"/>
    <cellStyle name="Normal 194 4 3 2" xfId="15796" xr:uid="{00000000-0005-0000-0000-0000B43D0000}"/>
    <cellStyle name="Normal 194 4 3 2 2" xfId="15797" xr:uid="{00000000-0005-0000-0000-0000B53D0000}"/>
    <cellStyle name="Normal 194 4 3 3" xfId="15798" xr:uid="{00000000-0005-0000-0000-0000B63D0000}"/>
    <cellStyle name="Normal 194 4 4" xfId="15799" xr:uid="{00000000-0005-0000-0000-0000B73D0000}"/>
    <cellStyle name="Normal 194 4 4 2" xfId="15800" xr:uid="{00000000-0005-0000-0000-0000B83D0000}"/>
    <cellStyle name="Normal 194 4 4 2 2" xfId="15801" xr:uid="{00000000-0005-0000-0000-0000B93D0000}"/>
    <cellStyle name="Normal 194 4 4 3" xfId="15802" xr:uid="{00000000-0005-0000-0000-0000BA3D0000}"/>
    <cellStyle name="Normal 194 4 5" xfId="15803" xr:uid="{00000000-0005-0000-0000-0000BB3D0000}"/>
    <cellStyle name="Normal 194 4 5 2" xfId="15804" xr:uid="{00000000-0005-0000-0000-0000BC3D0000}"/>
    <cellStyle name="Normal 194 4 5 2 2" xfId="15805" xr:uid="{00000000-0005-0000-0000-0000BD3D0000}"/>
    <cellStyle name="Normal 194 4 5 3" xfId="15806" xr:uid="{00000000-0005-0000-0000-0000BE3D0000}"/>
    <cellStyle name="Normal 194 4 6" xfId="15807" xr:uid="{00000000-0005-0000-0000-0000BF3D0000}"/>
    <cellStyle name="Normal 194 5" xfId="15808" xr:uid="{00000000-0005-0000-0000-0000C03D0000}"/>
    <cellStyle name="Normal 194 5 2" xfId="15809" xr:uid="{00000000-0005-0000-0000-0000C13D0000}"/>
    <cellStyle name="Normal 194 5 2 2" xfId="15810" xr:uid="{00000000-0005-0000-0000-0000C23D0000}"/>
    <cellStyle name="Normal 194 5 3" xfId="15811" xr:uid="{00000000-0005-0000-0000-0000C33D0000}"/>
    <cellStyle name="Normal 194 6" xfId="15812" xr:uid="{00000000-0005-0000-0000-0000C43D0000}"/>
    <cellStyle name="Normal 194 6 2" xfId="15813" xr:uid="{00000000-0005-0000-0000-0000C53D0000}"/>
    <cellStyle name="Normal 194 6 2 2" xfId="15814" xr:uid="{00000000-0005-0000-0000-0000C63D0000}"/>
    <cellStyle name="Normal 194 6 3" xfId="15815" xr:uid="{00000000-0005-0000-0000-0000C73D0000}"/>
    <cellStyle name="Normal 194 7" xfId="15816" xr:uid="{00000000-0005-0000-0000-0000C83D0000}"/>
    <cellStyle name="Normal 194 7 2" xfId="15817" xr:uid="{00000000-0005-0000-0000-0000C93D0000}"/>
    <cellStyle name="Normal 194 7 2 2" xfId="15818" xr:uid="{00000000-0005-0000-0000-0000CA3D0000}"/>
    <cellStyle name="Normal 194 7 3" xfId="15819" xr:uid="{00000000-0005-0000-0000-0000CB3D0000}"/>
    <cellStyle name="Normal 194 8" xfId="15820" xr:uid="{00000000-0005-0000-0000-0000CC3D0000}"/>
    <cellStyle name="Normal 195" xfId="15821" xr:uid="{00000000-0005-0000-0000-0000CD3D0000}"/>
    <cellStyle name="Normal 195 2" xfId="15822" xr:uid="{00000000-0005-0000-0000-0000CE3D0000}"/>
    <cellStyle name="Normal 195 2 2" xfId="15823" xr:uid="{00000000-0005-0000-0000-0000CF3D0000}"/>
    <cellStyle name="Normal 195 2 2 2" xfId="15824" xr:uid="{00000000-0005-0000-0000-0000D03D0000}"/>
    <cellStyle name="Normal 195 2 2 2 2" xfId="15825" xr:uid="{00000000-0005-0000-0000-0000D13D0000}"/>
    <cellStyle name="Normal 195 2 2 3" xfId="15826" xr:uid="{00000000-0005-0000-0000-0000D23D0000}"/>
    <cellStyle name="Normal 195 2 2 3 2" xfId="15827" xr:uid="{00000000-0005-0000-0000-0000D33D0000}"/>
    <cellStyle name="Normal 195 2 2 3 2 2" xfId="15828" xr:uid="{00000000-0005-0000-0000-0000D43D0000}"/>
    <cellStyle name="Normal 195 2 2 3 3" xfId="15829" xr:uid="{00000000-0005-0000-0000-0000D53D0000}"/>
    <cellStyle name="Normal 195 2 2 4" xfId="15830" xr:uid="{00000000-0005-0000-0000-0000D63D0000}"/>
    <cellStyle name="Normal 195 2 2 4 2" xfId="15831" xr:uid="{00000000-0005-0000-0000-0000D73D0000}"/>
    <cellStyle name="Normal 195 2 2 4 2 2" xfId="15832" xr:uid="{00000000-0005-0000-0000-0000D83D0000}"/>
    <cellStyle name="Normal 195 2 2 4 3" xfId="15833" xr:uid="{00000000-0005-0000-0000-0000D93D0000}"/>
    <cellStyle name="Normal 195 2 2 5" xfId="15834" xr:uid="{00000000-0005-0000-0000-0000DA3D0000}"/>
    <cellStyle name="Normal 195 2 3" xfId="15835" xr:uid="{00000000-0005-0000-0000-0000DB3D0000}"/>
    <cellStyle name="Normal 195 2 3 2" xfId="15836" xr:uid="{00000000-0005-0000-0000-0000DC3D0000}"/>
    <cellStyle name="Normal 195 2 3 2 2" xfId="15837" xr:uid="{00000000-0005-0000-0000-0000DD3D0000}"/>
    <cellStyle name="Normal 195 2 3 2 2 2" xfId="15838" xr:uid="{00000000-0005-0000-0000-0000DE3D0000}"/>
    <cellStyle name="Normal 195 2 3 2 3" xfId="15839" xr:uid="{00000000-0005-0000-0000-0000DF3D0000}"/>
    <cellStyle name="Normal 195 2 3 2 3 2" xfId="15840" xr:uid="{00000000-0005-0000-0000-0000E03D0000}"/>
    <cellStyle name="Normal 195 2 3 2 3 2 2" xfId="15841" xr:uid="{00000000-0005-0000-0000-0000E13D0000}"/>
    <cellStyle name="Normal 195 2 3 2 3 3" xfId="15842" xr:uid="{00000000-0005-0000-0000-0000E23D0000}"/>
    <cellStyle name="Normal 195 2 3 2 4" xfId="15843" xr:uid="{00000000-0005-0000-0000-0000E33D0000}"/>
    <cellStyle name="Normal 195 2 3 3" xfId="15844" xr:uid="{00000000-0005-0000-0000-0000E43D0000}"/>
    <cellStyle name="Normal 195 2 3 3 2" xfId="15845" xr:uid="{00000000-0005-0000-0000-0000E53D0000}"/>
    <cellStyle name="Normal 195 2 3 3 2 2" xfId="15846" xr:uid="{00000000-0005-0000-0000-0000E63D0000}"/>
    <cellStyle name="Normal 195 2 3 3 3" xfId="15847" xr:uid="{00000000-0005-0000-0000-0000E73D0000}"/>
    <cellStyle name="Normal 195 2 3 4" xfId="15848" xr:uid="{00000000-0005-0000-0000-0000E83D0000}"/>
    <cellStyle name="Normal 195 2 3 4 2" xfId="15849" xr:uid="{00000000-0005-0000-0000-0000E93D0000}"/>
    <cellStyle name="Normal 195 2 3 4 2 2" xfId="15850" xr:uid="{00000000-0005-0000-0000-0000EA3D0000}"/>
    <cellStyle name="Normal 195 2 3 4 3" xfId="15851" xr:uid="{00000000-0005-0000-0000-0000EB3D0000}"/>
    <cellStyle name="Normal 195 2 3 5" xfId="15852" xr:uid="{00000000-0005-0000-0000-0000EC3D0000}"/>
    <cellStyle name="Normal 195 2 3 5 2" xfId="15853" xr:uid="{00000000-0005-0000-0000-0000ED3D0000}"/>
    <cellStyle name="Normal 195 2 3 5 2 2" xfId="15854" xr:uid="{00000000-0005-0000-0000-0000EE3D0000}"/>
    <cellStyle name="Normal 195 2 3 5 3" xfId="15855" xr:uid="{00000000-0005-0000-0000-0000EF3D0000}"/>
    <cellStyle name="Normal 195 2 3 6" xfId="15856" xr:uid="{00000000-0005-0000-0000-0000F03D0000}"/>
    <cellStyle name="Normal 195 2 4" xfId="15857" xr:uid="{00000000-0005-0000-0000-0000F13D0000}"/>
    <cellStyle name="Normal 195 2 4 2" xfId="15858" xr:uid="{00000000-0005-0000-0000-0000F23D0000}"/>
    <cellStyle name="Normal 195 2 4 2 2" xfId="15859" xr:uid="{00000000-0005-0000-0000-0000F33D0000}"/>
    <cellStyle name="Normal 195 2 4 3" xfId="15860" xr:uid="{00000000-0005-0000-0000-0000F43D0000}"/>
    <cellStyle name="Normal 195 2 5" xfId="15861" xr:uid="{00000000-0005-0000-0000-0000F53D0000}"/>
    <cellStyle name="Normal 195 2 5 2" xfId="15862" xr:uid="{00000000-0005-0000-0000-0000F63D0000}"/>
    <cellStyle name="Normal 195 2 5 2 2" xfId="15863" xr:uid="{00000000-0005-0000-0000-0000F73D0000}"/>
    <cellStyle name="Normal 195 2 5 3" xfId="15864" xr:uid="{00000000-0005-0000-0000-0000F83D0000}"/>
    <cellStyle name="Normal 195 2 6" xfId="15865" xr:uid="{00000000-0005-0000-0000-0000F93D0000}"/>
    <cellStyle name="Normal 195 2 6 2" xfId="15866" xr:uid="{00000000-0005-0000-0000-0000FA3D0000}"/>
    <cellStyle name="Normal 195 2 6 2 2" xfId="15867" xr:uid="{00000000-0005-0000-0000-0000FB3D0000}"/>
    <cellStyle name="Normal 195 2 6 3" xfId="15868" xr:uid="{00000000-0005-0000-0000-0000FC3D0000}"/>
    <cellStyle name="Normal 195 2 7" xfId="15869" xr:uid="{00000000-0005-0000-0000-0000FD3D0000}"/>
    <cellStyle name="Normal 195 3" xfId="15870" xr:uid="{00000000-0005-0000-0000-0000FE3D0000}"/>
    <cellStyle name="Normal 195 3 2" xfId="15871" xr:uid="{00000000-0005-0000-0000-0000FF3D0000}"/>
    <cellStyle name="Normal 195 3 2 2" xfId="15872" xr:uid="{00000000-0005-0000-0000-0000003E0000}"/>
    <cellStyle name="Normal 195 3 3" xfId="15873" xr:uid="{00000000-0005-0000-0000-0000013E0000}"/>
    <cellStyle name="Normal 195 3 3 2" xfId="15874" xr:uid="{00000000-0005-0000-0000-0000023E0000}"/>
    <cellStyle name="Normal 195 3 3 2 2" xfId="15875" xr:uid="{00000000-0005-0000-0000-0000033E0000}"/>
    <cellStyle name="Normal 195 3 3 3" xfId="15876" xr:uid="{00000000-0005-0000-0000-0000043E0000}"/>
    <cellStyle name="Normal 195 3 4" xfId="15877" xr:uid="{00000000-0005-0000-0000-0000053E0000}"/>
    <cellStyle name="Normal 195 3 4 2" xfId="15878" xr:uid="{00000000-0005-0000-0000-0000063E0000}"/>
    <cellStyle name="Normal 195 3 4 2 2" xfId="15879" xr:uid="{00000000-0005-0000-0000-0000073E0000}"/>
    <cellStyle name="Normal 195 3 4 3" xfId="15880" xr:uid="{00000000-0005-0000-0000-0000083E0000}"/>
    <cellStyle name="Normal 195 3 5" xfId="15881" xr:uid="{00000000-0005-0000-0000-0000093E0000}"/>
    <cellStyle name="Normal 195 4" xfId="15882" xr:uid="{00000000-0005-0000-0000-00000A3E0000}"/>
    <cellStyle name="Normal 195 4 2" xfId="15883" xr:uid="{00000000-0005-0000-0000-00000B3E0000}"/>
    <cellStyle name="Normal 195 4 2 2" xfId="15884" xr:uid="{00000000-0005-0000-0000-00000C3E0000}"/>
    <cellStyle name="Normal 195 4 2 2 2" xfId="15885" xr:uid="{00000000-0005-0000-0000-00000D3E0000}"/>
    <cellStyle name="Normal 195 4 2 3" xfId="15886" xr:uid="{00000000-0005-0000-0000-00000E3E0000}"/>
    <cellStyle name="Normal 195 4 2 3 2" xfId="15887" xr:uid="{00000000-0005-0000-0000-00000F3E0000}"/>
    <cellStyle name="Normal 195 4 2 3 2 2" xfId="15888" xr:uid="{00000000-0005-0000-0000-0000103E0000}"/>
    <cellStyle name="Normal 195 4 2 3 3" xfId="15889" xr:uid="{00000000-0005-0000-0000-0000113E0000}"/>
    <cellStyle name="Normal 195 4 2 4" xfId="15890" xr:uid="{00000000-0005-0000-0000-0000123E0000}"/>
    <cellStyle name="Normal 195 4 3" xfId="15891" xr:uid="{00000000-0005-0000-0000-0000133E0000}"/>
    <cellStyle name="Normal 195 4 3 2" xfId="15892" xr:uid="{00000000-0005-0000-0000-0000143E0000}"/>
    <cellStyle name="Normal 195 4 3 2 2" xfId="15893" xr:uid="{00000000-0005-0000-0000-0000153E0000}"/>
    <cellStyle name="Normal 195 4 3 3" xfId="15894" xr:uid="{00000000-0005-0000-0000-0000163E0000}"/>
    <cellStyle name="Normal 195 4 4" xfId="15895" xr:uid="{00000000-0005-0000-0000-0000173E0000}"/>
    <cellStyle name="Normal 195 4 4 2" xfId="15896" xr:uid="{00000000-0005-0000-0000-0000183E0000}"/>
    <cellStyle name="Normal 195 4 4 2 2" xfId="15897" xr:uid="{00000000-0005-0000-0000-0000193E0000}"/>
    <cellStyle name="Normal 195 4 4 3" xfId="15898" xr:uid="{00000000-0005-0000-0000-00001A3E0000}"/>
    <cellStyle name="Normal 195 4 5" xfId="15899" xr:uid="{00000000-0005-0000-0000-00001B3E0000}"/>
    <cellStyle name="Normal 195 4 5 2" xfId="15900" xr:uid="{00000000-0005-0000-0000-00001C3E0000}"/>
    <cellStyle name="Normal 195 4 5 2 2" xfId="15901" xr:uid="{00000000-0005-0000-0000-00001D3E0000}"/>
    <cellStyle name="Normal 195 4 5 3" xfId="15902" xr:uid="{00000000-0005-0000-0000-00001E3E0000}"/>
    <cellStyle name="Normal 195 4 6" xfId="15903" xr:uid="{00000000-0005-0000-0000-00001F3E0000}"/>
    <cellStyle name="Normal 195 5" xfId="15904" xr:uid="{00000000-0005-0000-0000-0000203E0000}"/>
    <cellStyle name="Normal 195 5 2" xfId="15905" xr:uid="{00000000-0005-0000-0000-0000213E0000}"/>
    <cellStyle name="Normal 195 5 2 2" xfId="15906" xr:uid="{00000000-0005-0000-0000-0000223E0000}"/>
    <cellStyle name="Normal 195 5 3" xfId="15907" xr:uid="{00000000-0005-0000-0000-0000233E0000}"/>
    <cellStyle name="Normal 195 6" xfId="15908" xr:uid="{00000000-0005-0000-0000-0000243E0000}"/>
    <cellStyle name="Normal 195 6 2" xfId="15909" xr:uid="{00000000-0005-0000-0000-0000253E0000}"/>
    <cellStyle name="Normal 195 6 2 2" xfId="15910" xr:uid="{00000000-0005-0000-0000-0000263E0000}"/>
    <cellStyle name="Normal 195 6 3" xfId="15911" xr:uid="{00000000-0005-0000-0000-0000273E0000}"/>
    <cellStyle name="Normal 195 7" xfId="15912" xr:uid="{00000000-0005-0000-0000-0000283E0000}"/>
    <cellStyle name="Normal 195 7 2" xfId="15913" xr:uid="{00000000-0005-0000-0000-0000293E0000}"/>
    <cellStyle name="Normal 195 7 2 2" xfId="15914" xr:uid="{00000000-0005-0000-0000-00002A3E0000}"/>
    <cellStyle name="Normal 195 7 3" xfId="15915" xr:uid="{00000000-0005-0000-0000-00002B3E0000}"/>
    <cellStyle name="Normal 195 8" xfId="15916" xr:uid="{00000000-0005-0000-0000-00002C3E0000}"/>
    <cellStyle name="Normal 196" xfId="15917" xr:uid="{00000000-0005-0000-0000-00002D3E0000}"/>
    <cellStyle name="Normal 196 2" xfId="15918" xr:uid="{00000000-0005-0000-0000-00002E3E0000}"/>
    <cellStyle name="Normal 196 2 2" xfId="15919" xr:uid="{00000000-0005-0000-0000-00002F3E0000}"/>
    <cellStyle name="Normal 196 2 2 2" xfId="15920" xr:uid="{00000000-0005-0000-0000-0000303E0000}"/>
    <cellStyle name="Normal 196 2 2 2 2" xfId="15921" xr:uid="{00000000-0005-0000-0000-0000313E0000}"/>
    <cellStyle name="Normal 196 2 2 3" xfId="15922" xr:uid="{00000000-0005-0000-0000-0000323E0000}"/>
    <cellStyle name="Normal 196 2 2 3 2" xfId="15923" xr:uid="{00000000-0005-0000-0000-0000333E0000}"/>
    <cellStyle name="Normal 196 2 2 3 2 2" xfId="15924" xr:uid="{00000000-0005-0000-0000-0000343E0000}"/>
    <cellStyle name="Normal 196 2 2 3 3" xfId="15925" xr:uid="{00000000-0005-0000-0000-0000353E0000}"/>
    <cellStyle name="Normal 196 2 2 4" xfId="15926" xr:uid="{00000000-0005-0000-0000-0000363E0000}"/>
    <cellStyle name="Normal 196 2 2 4 2" xfId="15927" xr:uid="{00000000-0005-0000-0000-0000373E0000}"/>
    <cellStyle name="Normal 196 2 2 4 2 2" xfId="15928" xr:uid="{00000000-0005-0000-0000-0000383E0000}"/>
    <cellStyle name="Normal 196 2 2 4 3" xfId="15929" xr:uid="{00000000-0005-0000-0000-0000393E0000}"/>
    <cellStyle name="Normal 196 2 2 5" xfId="15930" xr:uid="{00000000-0005-0000-0000-00003A3E0000}"/>
    <cellStyle name="Normal 196 2 3" xfId="15931" xr:uid="{00000000-0005-0000-0000-00003B3E0000}"/>
    <cellStyle name="Normal 196 2 3 2" xfId="15932" xr:uid="{00000000-0005-0000-0000-00003C3E0000}"/>
    <cellStyle name="Normal 196 2 3 2 2" xfId="15933" xr:uid="{00000000-0005-0000-0000-00003D3E0000}"/>
    <cellStyle name="Normal 196 2 3 2 2 2" xfId="15934" xr:uid="{00000000-0005-0000-0000-00003E3E0000}"/>
    <cellStyle name="Normal 196 2 3 2 3" xfId="15935" xr:uid="{00000000-0005-0000-0000-00003F3E0000}"/>
    <cellStyle name="Normal 196 2 3 2 3 2" xfId="15936" xr:uid="{00000000-0005-0000-0000-0000403E0000}"/>
    <cellStyle name="Normal 196 2 3 2 3 2 2" xfId="15937" xr:uid="{00000000-0005-0000-0000-0000413E0000}"/>
    <cellStyle name="Normal 196 2 3 2 3 3" xfId="15938" xr:uid="{00000000-0005-0000-0000-0000423E0000}"/>
    <cellStyle name="Normal 196 2 3 2 4" xfId="15939" xr:uid="{00000000-0005-0000-0000-0000433E0000}"/>
    <cellStyle name="Normal 196 2 3 3" xfId="15940" xr:uid="{00000000-0005-0000-0000-0000443E0000}"/>
    <cellStyle name="Normal 196 2 3 3 2" xfId="15941" xr:uid="{00000000-0005-0000-0000-0000453E0000}"/>
    <cellStyle name="Normal 196 2 3 3 2 2" xfId="15942" xr:uid="{00000000-0005-0000-0000-0000463E0000}"/>
    <cellStyle name="Normal 196 2 3 3 3" xfId="15943" xr:uid="{00000000-0005-0000-0000-0000473E0000}"/>
    <cellStyle name="Normal 196 2 3 4" xfId="15944" xr:uid="{00000000-0005-0000-0000-0000483E0000}"/>
    <cellStyle name="Normal 196 2 3 4 2" xfId="15945" xr:uid="{00000000-0005-0000-0000-0000493E0000}"/>
    <cellStyle name="Normal 196 2 3 4 2 2" xfId="15946" xr:uid="{00000000-0005-0000-0000-00004A3E0000}"/>
    <cellStyle name="Normal 196 2 3 4 3" xfId="15947" xr:uid="{00000000-0005-0000-0000-00004B3E0000}"/>
    <cellStyle name="Normal 196 2 3 5" xfId="15948" xr:uid="{00000000-0005-0000-0000-00004C3E0000}"/>
    <cellStyle name="Normal 196 2 3 5 2" xfId="15949" xr:uid="{00000000-0005-0000-0000-00004D3E0000}"/>
    <cellStyle name="Normal 196 2 3 5 2 2" xfId="15950" xr:uid="{00000000-0005-0000-0000-00004E3E0000}"/>
    <cellStyle name="Normal 196 2 3 5 3" xfId="15951" xr:uid="{00000000-0005-0000-0000-00004F3E0000}"/>
    <cellStyle name="Normal 196 2 3 6" xfId="15952" xr:uid="{00000000-0005-0000-0000-0000503E0000}"/>
    <cellStyle name="Normal 196 2 4" xfId="15953" xr:uid="{00000000-0005-0000-0000-0000513E0000}"/>
    <cellStyle name="Normal 196 2 4 2" xfId="15954" xr:uid="{00000000-0005-0000-0000-0000523E0000}"/>
    <cellStyle name="Normal 196 2 4 2 2" xfId="15955" xr:uid="{00000000-0005-0000-0000-0000533E0000}"/>
    <cellStyle name="Normal 196 2 4 3" xfId="15956" xr:uid="{00000000-0005-0000-0000-0000543E0000}"/>
    <cellStyle name="Normal 196 2 5" xfId="15957" xr:uid="{00000000-0005-0000-0000-0000553E0000}"/>
    <cellStyle name="Normal 196 2 5 2" xfId="15958" xr:uid="{00000000-0005-0000-0000-0000563E0000}"/>
    <cellStyle name="Normal 196 2 5 2 2" xfId="15959" xr:uid="{00000000-0005-0000-0000-0000573E0000}"/>
    <cellStyle name="Normal 196 2 5 3" xfId="15960" xr:uid="{00000000-0005-0000-0000-0000583E0000}"/>
    <cellStyle name="Normal 196 2 6" xfId="15961" xr:uid="{00000000-0005-0000-0000-0000593E0000}"/>
    <cellStyle name="Normal 196 2 6 2" xfId="15962" xr:uid="{00000000-0005-0000-0000-00005A3E0000}"/>
    <cellStyle name="Normal 196 2 6 2 2" xfId="15963" xr:uid="{00000000-0005-0000-0000-00005B3E0000}"/>
    <cellStyle name="Normal 196 2 6 3" xfId="15964" xr:uid="{00000000-0005-0000-0000-00005C3E0000}"/>
    <cellStyle name="Normal 196 2 7" xfId="15965" xr:uid="{00000000-0005-0000-0000-00005D3E0000}"/>
    <cellStyle name="Normal 196 3" xfId="15966" xr:uid="{00000000-0005-0000-0000-00005E3E0000}"/>
    <cellStyle name="Normal 196 3 2" xfId="15967" xr:uid="{00000000-0005-0000-0000-00005F3E0000}"/>
    <cellStyle name="Normal 196 3 2 2" xfId="15968" xr:uid="{00000000-0005-0000-0000-0000603E0000}"/>
    <cellStyle name="Normal 196 3 3" xfId="15969" xr:uid="{00000000-0005-0000-0000-0000613E0000}"/>
    <cellStyle name="Normal 196 3 3 2" xfId="15970" xr:uid="{00000000-0005-0000-0000-0000623E0000}"/>
    <cellStyle name="Normal 196 3 3 2 2" xfId="15971" xr:uid="{00000000-0005-0000-0000-0000633E0000}"/>
    <cellStyle name="Normal 196 3 3 3" xfId="15972" xr:uid="{00000000-0005-0000-0000-0000643E0000}"/>
    <cellStyle name="Normal 196 3 4" xfId="15973" xr:uid="{00000000-0005-0000-0000-0000653E0000}"/>
    <cellStyle name="Normal 196 3 4 2" xfId="15974" xr:uid="{00000000-0005-0000-0000-0000663E0000}"/>
    <cellStyle name="Normal 196 3 4 2 2" xfId="15975" xr:uid="{00000000-0005-0000-0000-0000673E0000}"/>
    <cellStyle name="Normal 196 3 4 3" xfId="15976" xr:uid="{00000000-0005-0000-0000-0000683E0000}"/>
    <cellStyle name="Normal 196 3 5" xfId="15977" xr:uid="{00000000-0005-0000-0000-0000693E0000}"/>
    <cellStyle name="Normal 196 4" xfId="15978" xr:uid="{00000000-0005-0000-0000-00006A3E0000}"/>
    <cellStyle name="Normal 196 4 2" xfId="15979" xr:uid="{00000000-0005-0000-0000-00006B3E0000}"/>
    <cellStyle name="Normal 196 4 2 2" xfId="15980" xr:uid="{00000000-0005-0000-0000-00006C3E0000}"/>
    <cellStyle name="Normal 196 4 2 2 2" xfId="15981" xr:uid="{00000000-0005-0000-0000-00006D3E0000}"/>
    <cellStyle name="Normal 196 4 2 3" xfId="15982" xr:uid="{00000000-0005-0000-0000-00006E3E0000}"/>
    <cellStyle name="Normal 196 4 2 3 2" xfId="15983" xr:uid="{00000000-0005-0000-0000-00006F3E0000}"/>
    <cellStyle name="Normal 196 4 2 3 2 2" xfId="15984" xr:uid="{00000000-0005-0000-0000-0000703E0000}"/>
    <cellStyle name="Normal 196 4 2 3 3" xfId="15985" xr:uid="{00000000-0005-0000-0000-0000713E0000}"/>
    <cellStyle name="Normal 196 4 2 4" xfId="15986" xr:uid="{00000000-0005-0000-0000-0000723E0000}"/>
    <cellStyle name="Normal 196 4 3" xfId="15987" xr:uid="{00000000-0005-0000-0000-0000733E0000}"/>
    <cellStyle name="Normal 196 4 3 2" xfId="15988" xr:uid="{00000000-0005-0000-0000-0000743E0000}"/>
    <cellStyle name="Normal 196 4 3 2 2" xfId="15989" xr:uid="{00000000-0005-0000-0000-0000753E0000}"/>
    <cellStyle name="Normal 196 4 3 3" xfId="15990" xr:uid="{00000000-0005-0000-0000-0000763E0000}"/>
    <cellStyle name="Normal 196 4 4" xfId="15991" xr:uid="{00000000-0005-0000-0000-0000773E0000}"/>
    <cellStyle name="Normal 196 4 4 2" xfId="15992" xr:uid="{00000000-0005-0000-0000-0000783E0000}"/>
    <cellStyle name="Normal 196 4 4 2 2" xfId="15993" xr:uid="{00000000-0005-0000-0000-0000793E0000}"/>
    <cellStyle name="Normal 196 4 4 3" xfId="15994" xr:uid="{00000000-0005-0000-0000-00007A3E0000}"/>
    <cellStyle name="Normal 196 4 5" xfId="15995" xr:uid="{00000000-0005-0000-0000-00007B3E0000}"/>
    <cellStyle name="Normal 196 4 5 2" xfId="15996" xr:uid="{00000000-0005-0000-0000-00007C3E0000}"/>
    <cellStyle name="Normal 196 4 5 2 2" xfId="15997" xr:uid="{00000000-0005-0000-0000-00007D3E0000}"/>
    <cellStyle name="Normal 196 4 5 3" xfId="15998" xr:uid="{00000000-0005-0000-0000-00007E3E0000}"/>
    <cellStyle name="Normal 196 4 6" xfId="15999" xr:uid="{00000000-0005-0000-0000-00007F3E0000}"/>
    <cellStyle name="Normal 196 5" xfId="16000" xr:uid="{00000000-0005-0000-0000-0000803E0000}"/>
    <cellStyle name="Normal 196 5 2" xfId="16001" xr:uid="{00000000-0005-0000-0000-0000813E0000}"/>
    <cellStyle name="Normal 196 5 2 2" xfId="16002" xr:uid="{00000000-0005-0000-0000-0000823E0000}"/>
    <cellStyle name="Normal 196 5 3" xfId="16003" xr:uid="{00000000-0005-0000-0000-0000833E0000}"/>
    <cellStyle name="Normal 196 6" xfId="16004" xr:uid="{00000000-0005-0000-0000-0000843E0000}"/>
    <cellStyle name="Normal 196 6 2" xfId="16005" xr:uid="{00000000-0005-0000-0000-0000853E0000}"/>
    <cellStyle name="Normal 196 6 2 2" xfId="16006" xr:uid="{00000000-0005-0000-0000-0000863E0000}"/>
    <cellStyle name="Normal 196 6 3" xfId="16007" xr:uid="{00000000-0005-0000-0000-0000873E0000}"/>
    <cellStyle name="Normal 196 7" xfId="16008" xr:uid="{00000000-0005-0000-0000-0000883E0000}"/>
    <cellStyle name="Normal 196 7 2" xfId="16009" xr:uid="{00000000-0005-0000-0000-0000893E0000}"/>
    <cellStyle name="Normal 196 7 2 2" xfId="16010" xr:uid="{00000000-0005-0000-0000-00008A3E0000}"/>
    <cellStyle name="Normal 196 7 3" xfId="16011" xr:uid="{00000000-0005-0000-0000-00008B3E0000}"/>
    <cellStyle name="Normal 196 8" xfId="16012" xr:uid="{00000000-0005-0000-0000-00008C3E0000}"/>
    <cellStyle name="Normal 197" xfId="16013" xr:uid="{00000000-0005-0000-0000-00008D3E0000}"/>
    <cellStyle name="Normal 197 2" xfId="16014" xr:uid="{00000000-0005-0000-0000-00008E3E0000}"/>
    <cellStyle name="Normal 197 2 2" xfId="16015" xr:uid="{00000000-0005-0000-0000-00008F3E0000}"/>
    <cellStyle name="Normal 197 2 2 2" xfId="16016" xr:uid="{00000000-0005-0000-0000-0000903E0000}"/>
    <cellStyle name="Normal 197 2 2 2 2" xfId="16017" xr:uid="{00000000-0005-0000-0000-0000913E0000}"/>
    <cellStyle name="Normal 197 2 2 3" xfId="16018" xr:uid="{00000000-0005-0000-0000-0000923E0000}"/>
    <cellStyle name="Normal 197 2 2 3 2" xfId="16019" xr:uid="{00000000-0005-0000-0000-0000933E0000}"/>
    <cellStyle name="Normal 197 2 2 3 2 2" xfId="16020" xr:uid="{00000000-0005-0000-0000-0000943E0000}"/>
    <cellStyle name="Normal 197 2 2 3 3" xfId="16021" xr:uid="{00000000-0005-0000-0000-0000953E0000}"/>
    <cellStyle name="Normal 197 2 2 4" xfId="16022" xr:uid="{00000000-0005-0000-0000-0000963E0000}"/>
    <cellStyle name="Normal 197 2 2 4 2" xfId="16023" xr:uid="{00000000-0005-0000-0000-0000973E0000}"/>
    <cellStyle name="Normal 197 2 2 4 2 2" xfId="16024" xr:uid="{00000000-0005-0000-0000-0000983E0000}"/>
    <cellStyle name="Normal 197 2 2 4 3" xfId="16025" xr:uid="{00000000-0005-0000-0000-0000993E0000}"/>
    <cellStyle name="Normal 197 2 2 5" xfId="16026" xr:uid="{00000000-0005-0000-0000-00009A3E0000}"/>
    <cellStyle name="Normal 197 2 3" xfId="16027" xr:uid="{00000000-0005-0000-0000-00009B3E0000}"/>
    <cellStyle name="Normal 197 2 3 2" xfId="16028" xr:uid="{00000000-0005-0000-0000-00009C3E0000}"/>
    <cellStyle name="Normal 197 2 3 2 2" xfId="16029" xr:uid="{00000000-0005-0000-0000-00009D3E0000}"/>
    <cellStyle name="Normal 197 2 3 2 2 2" xfId="16030" xr:uid="{00000000-0005-0000-0000-00009E3E0000}"/>
    <cellStyle name="Normal 197 2 3 2 3" xfId="16031" xr:uid="{00000000-0005-0000-0000-00009F3E0000}"/>
    <cellStyle name="Normal 197 2 3 2 3 2" xfId="16032" xr:uid="{00000000-0005-0000-0000-0000A03E0000}"/>
    <cellStyle name="Normal 197 2 3 2 3 2 2" xfId="16033" xr:uid="{00000000-0005-0000-0000-0000A13E0000}"/>
    <cellStyle name="Normal 197 2 3 2 3 3" xfId="16034" xr:uid="{00000000-0005-0000-0000-0000A23E0000}"/>
    <cellStyle name="Normal 197 2 3 2 4" xfId="16035" xr:uid="{00000000-0005-0000-0000-0000A33E0000}"/>
    <cellStyle name="Normal 197 2 3 3" xfId="16036" xr:uid="{00000000-0005-0000-0000-0000A43E0000}"/>
    <cellStyle name="Normal 197 2 3 3 2" xfId="16037" xr:uid="{00000000-0005-0000-0000-0000A53E0000}"/>
    <cellStyle name="Normal 197 2 3 3 2 2" xfId="16038" xr:uid="{00000000-0005-0000-0000-0000A63E0000}"/>
    <cellStyle name="Normal 197 2 3 3 3" xfId="16039" xr:uid="{00000000-0005-0000-0000-0000A73E0000}"/>
    <cellStyle name="Normal 197 2 3 4" xfId="16040" xr:uid="{00000000-0005-0000-0000-0000A83E0000}"/>
    <cellStyle name="Normal 197 2 3 4 2" xfId="16041" xr:uid="{00000000-0005-0000-0000-0000A93E0000}"/>
    <cellStyle name="Normal 197 2 3 4 2 2" xfId="16042" xr:uid="{00000000-0005-0000-0000-0000AA3E0000}"/>
    <cellStyle name="Normal 197 2 3 4 3" xfId="16043" xr:uid="{00000000-0005-0000-0000-0000AB3E0000}"/>
    <cellStyle name="Normal 197 2 3 5" xfId="16044" xr:uid="{00000000-0005-0000-0000-0000AC3E0000}"/>
    <cellStyle name="Normal 197 2 3 5 2" xfId="16045" xr:uid="{00000000-0005-0000-0000-0000AD3E0000}"/>
    <cellStyle name="Normal 197 2 3 5 2 2" xfId="16046" xr:uid="{00000000-0005-0000-0000-0000AE3E0000}"/>
    <cellStyle name="Normal 197 2 3 5 3" xfId="16047" xr:uid="{00000000-0005-0000-0000-0000AF3E0000}"/>
    <cellStyle name="Normal 197 2 3 6" xfId="16048" xr:uid="{00000000-0005-0000-0000-0000B03E0000}"/>
    <cellStyle name="Normal 197 2 4" xfId="16049" xr:uid="{00000000-0005-0000-0000-0000B13E0000}"/>
    <cellStyle name="Normal 197 2 4 2" xfId="16050" xr:uid="{00000000-0005-0000-0000-0000B23E0000}"/>
    <cellStyle name="Normal 197 2 4 2 2" xfId="16051" xr:uid="{00000000-0005-0000-0000-0000B33E0000}"/>
    <cellStyle name="Normal 197 2 4 3" xfId="16052" xr:uid="{00000000-0005-0000-0000-0000B43E0000}"/>
    <cellStyle name="Normal 197 2 5" xfId="16053" xr:uid="{00000000-0005-0000-0000-0000B53E0000}"/>
    <cellStyle name="Normal 197 2 5 2" xfId="16054" xr:uid="{00000000-0005-0000-0000-0000B63E0000}"/>
    <cellStyle name="Normal 197 2 5 2 2" xfId="16055" xr:uid="{00000000-0005-0000-0000-0000B73E0000}"/>
    <cellStyle name="Normal 197 2 5 3" xfId="16056" xr:uid="{00000000-0005-0000-0000-0000B83E0000}"/>
    <cellStyle name="Normal 197 2 6" xfId="16057" xr:uid="{00000000-0005-0000-0000-0000B93E0000}"/>
    <cellStyle name="Normal 197 2 6 2" xfId="16058" xr:uid="{00000000-0005-0000-0000-0000BA3E0000}"/>
    <cellStyle name="Normal 197 2 6 2 2" xfId="16059" xr:uid="{00000000-0005-0000-0000-0000BB3E0000}"/>
    <cellStyle name="Normal 197 2 6 3" xfId="16060" xr:uid="{00000000-0005-0000-0000-0000BC3E0000}"/>
    <cellStyle name="Normal 197 2 7" xfId="16061" xr:uid="{00000000-0005-0000-0000-0000BD3E0000}"/>
    <cellStyle name="Normal 197 3" xfId="16062" xr:uid="{00000000-0005-0000-0000-0000BE3E0000}"/>
    <cellStyle name="Normal 197 3 2" xfId="16063" xr:uid="{00000000-0005-0000-0000-0000BF3E0000}"/>
    <cellStyle name="Normal 197 3 2 2" xfId="16064" xr:uid="{00000000-0005-0000-0000-0000C03E0000}"/>
    <cellStyle name="Normal 197 3 3" xfId="16065" xr:uid="{00000000-0005-0000-0000-0000C13E0000}"/>
    <cellStyle name="Normal 197 3 3 2" xfId="16066" xr:uid="{00000000-0005-0000-0000-0000C23E0000}"/>
    <cellStyle name="Normal 197 3 3 2 2" xfId="16067" xr:uid="{00000000-0005-0000-0000-0000C33E0000}"/>
    <cellStyle name="Normal 197 3 3 3" xfId="16068" xr:uid="{00000000-0005-0000-0000-0000C43E0000}"/>
    <cellStyle name="Normal 197 3 4" xfId="16069" xr:uid="{00000000-0005-0000-0000-0000C53E0000}"/>
    <cellStyle name="Normal 197 3 4 2" xfId="16070" xr:uid="{00000000-0005-0000-0000-0000C63E0000}"/>
    <cellStyle name="Normal 197 3 4 2 2" xfId="16071" xr:uid="{00000000-0005-0000-0000-0000C73E0000}"/>
    <cellStyle name="Normal 197 3 4 3" xfId="16072" xr:uid="{00000000-0005-0000-0000-0000C83E0000}"/>
    <cellStyle name="Normal 197 3 5" xfId="16073" xr:uid="{00000000-0005-0000-0000-0000C93E0000}"/>
    <cellStyle name="Normal 197 4" xfId="16074" xr:uid="{00000000-0005-0000-0000-0000CA3E0000}"/>
    <cellStyle name="Normal 197 4 2" xfId="16075" xr:uid="{00000000-0005-0000-0000-0000CB3E0000}"/>
    <cellStyle name="Normal 197 4 2 2" xfId="16076" xr:uid="{00000000-0005-0000-0000-0000CC3E0000}"/>
    <cellStyle name="Normal 197 4 2 2 2" xfId="16077" xr:uid="{00000000-0005-0000-0000-0000CD3E0000}"/>
    <cellStyle name="Normal 197 4 2 3" xfId="16078" xr:uid="{00000000-0005-0000-0000-0000CE3E0000}"/>
    <cellStyle name="Normal 197 4 2 3 2" xfId="16079" xr:uid="{00000000-0005-0000-0000-0000CF3E0000}"/>
    <cellStyle name="Normal 197 4 2 3 2 2" xfId="16080" xr:uid="{00000000-0005-0000-0000-0000D03E0000}"/>
    <cellStyle name="Normal 197 4 2 3 3" xfId="16081" xr:uid="{00000000-0005-0000-0000-0000D13E0000}"/>
    <cellStyle name="Normal 197 4 2 4" xfId="16082" xr:uid="{00000000-0005-0000-0000-0000D23E0000}"/>
    <cellStyle name="Normal 197 4 3" xfId="16083" xr:uid="{00000000-0005-0000-0000-0000D33E0000}"/>
    <cellStyle name="Normal 197 4 3 2" xfId="16084" xr:uid="{00000000-0005-0000-0000-0000D43E0000}"/>
    <cellStyle name="Normal 197 4 3 2 2" xfId="16085" xr:uid="{00000000-0005-0000-0000-0000D53E0000}"/>
    <cellStyle name="Normal 197 4 3 3" xfId="16086" xr:uid="{00000000-0005-0000-0000-0000D63E0000}"/>
    <cellStyle name="Normal 197 4 4" xfId="16087" xr:uid="{00000000-0005-0000-0000-0000D73E0000}"/>
    <cellStyle name="Normal 197 4 4 2" xfId="16088" xr:uid="{00000000-0005-0000-0000-0000D83E0000}"/>
    <cellStyle name="Normal 197 4 4 2 2" xfId="16089" xr:uid="{00000000-0005-0000-0000-0000D93E0000}"/>
    <cellStyle name="Normal 197 4 4 3" xfId="16090" xr:uid="{00000000-0005-0000-0000-0000DA3E0000}"/>
    <cellStyle name="Normal 197 4 5" xfId="16091" xr:uid="{00000000-0005-0000-0000-0000DB3E0000}"/>
    <cellStyle name="Normal 197 4 5 2" xfId="16092" xr:uid="{00000000-0005-0000-0000-0000DC3E0000}"/>
    <cellStyle name="Normal 197 4 5 2 2" xfId="16093" xr:uid="{00000000-0005-0000-0000-0000DD3E0000}"/>
    <cellStyle name="Normal 197 4 5 3" xfId="16094" xr:uid="{00000000-0005-0000-0000-0000DE3E0000}"/>
    <cellStyle name="Normal 197 4 6" xfId="16095" xr:uid="{00000000-0005-0000-0000-0000DF3E0000}"/>
    <cellStyle name="Normal 197 5" xfId="16096" xr:uid="{00000000-0005-0000-0000-0000E03E0000}"/>
    <cellStyle name="Normal 197 5 2" xfId="16097" xr:uid="{00000000-0005-0000-0000-0000E13E0000}"/>
    <cellStyle name="Normal 197 5 2 2" xfId="16098" xr:uid="{00000000-0005-0000-0000-0000E23E0000}"/>
    <cellStyle name="Normal 197 5 3" xfId="16099" xr:uid="{00000000-0005-0000-0000-0000E33E0000}"/>
    <cellStyle name="Normal 197 6" xfId="16100" xr:uid="{00000000-0005-0000-0000-0000E43E0000}"/>
    <cellStyle name="Normal 197 6 2" xfId="16101" xr:uid="{00000000-0005-0000-0000-0000E53E0000}"/>
    <cellStyle name="Normal 197 6 2 2" xfId="16102" xr:uid="{00000000-0005-0000-0000-0000E63E0000}"/>
    <cellStyle name="Normal 197 6 3" xfId="16103" xr:uid="{00000000-0005-0000-0000-0000E73E0000}"/>
    <cellStyle name="Normal 197 7" xfId="16104" xr:uid="{00000000-0005-0000-0000-0000E83E0000}"/>
    <cellStyle name="Normal 197 7 2" xfId="16105" xr:uid="{00000000-0005-0000-0000-0000E93E0000}"/>
    <cellStyle name="Normal 197 7 2 2" xfId="16106" xr:uid="{00000000-0005-0000-0000-0000EA3E0000}"/>
    <cellStyle name="Normal 197 7 3" xfId="16107" xr:uid="{00000000-0005-0000-0000-0000EB3E0000}"/>
    <cellStyle name="Normal 197 8" xfId="16108" xr:uid="{00000000-0005-0000-0000-0000EC3E0000}"/>
    <cellStyle name="Normal 198" xfId="16109" xr:uid="{00000000-0005-0000-0000-0000ED3E0000}"/>
    <cellStyle name="Normal 198 2" xfId="16110" xr:uid="{00000000-0005-0000-0000-0000EE3E0000}"/>
    <cellStyle name="Normal 198 2 2" xfId="16111" xr:uid="{00000000-0005-0000-0000-0000EF3E0000}"/>
    <cellStyle name="Normal 198 2 2 2" xfId="16112" xr:uid="{00000000-0005-0000-0000-0000F03E0000}"/>
    <cellStyle name="Normal 198 2 2 2 2" xfId="16113" xr:uid="{00000000-0005-0000-0000-0000F13E0000}"/>
    <cellStyle name="Normal 198 2 2 3" xfId="16114" xr:uid="{00000000-0005-0000-0000-0000F23E0000}"/>
    <cellStyle name="Normal 198 2 2 3 2" xfId="16115" xr:uid="{00000000-0005-0000-0000-0000F33E0000}"/>
    <cellStyle name="Normal 198 2 2 3 2 2" xfId="16116" xr:uid="{00000000-0005-0000-0000-0000F43E0000}"/>
    <cellStyle name="Normal 198 2 2 3 3" xfId="16117" xr:uid="{00000000-0005-0000-0000-0000F53E0000}"/>
    <cellStyle name="Normal 198 2 2 4" xfId="16118" xr:uid="{00000000-0005-0000-0000-0000F63E0000}"/>
    <cellStyle name="Normal 198 2 2 4 2" xfId="16119" xr:uid="{00000000-0005-0000-0000-0000F73E0000}"/>
    <cellStyle name="Normal 198 2 2 4 2 2" xfId="16120" xr:uid="{00000000-0005-0000-0000-0000F83E0000}"/>
    <cellStyle name="Normal 198 2 2 4 3" xfId="16121" xr:uid="{00000000-0005-0000-0000-0000F93E0000}"/>
    <cellStyle name="Normal 198 2 2 5" xfId="16122" xr:uid="{00000000-0005-0000-0000-0000FA3E0000}"/>
    <cellStyle name="Normal 198 2 3" xfId="16123" xr:uid="{00000000-0005-0000-0000-0000FB3E0000}"/>
    <cellStyle name="Normal 198 2 3 2" xfId="16124" xr:uid="{00000000-0005-0000-0000-0000FC3E0000}"/>
    <cellStyle name="Normal 198 2 3 2 2" xfId="16125" xr:uid="{00000000-0005-0000-0000-0000FD3E0000}"/>
    <cellStyle name="Normal 198 2 3 2 2 2" xfId="16126" xr:uid="{00000000-0005-0000-0000-0000FE3E0000}"/>
    <cellStyle name="Normal 198 2 3 2 3" xfId="16127" xr:uid="{00000000-0005-0000-0000-0000FF3E0000}"/>
    <cellStyle name="Normal 198 2 3 2 3 2" xfId="16128" xr:uid="{00000000-0005-0000-0000-0000003F0000}"/>
    <cellStyle name="Normal 198 2 3 2 3 2 2" xfId="16129" xr:uid="{00000000-0005-0000-0000-0000013F0000}"/>
    <cellStyle name="Normal 198 2 3 2 3 3" xfId="16130" xr:uid="{00000000-0005-0000-0000-0000023F0000}"/>
    <cellStyle name="Normal 198 2 3 2 4" xfId="16131" xr:uid="{00000000-0005-0000-0000-0000033F0000}"/>
    <cellStyle name="Normal 198 2 3 3" xfId="16132" xr:uid="{00000000-0005-0000-0000-0000043F0000}"/>
    <cellStyle name="Normal 198 2 3 3 2" xfId="16133" xr:uid="{00000000-0005-0000-0000-0000053F0000}"/>
    <cellStyle name="Normal 198 2 3 3 2 2" xfId="16134" xr:uid="{00000000-0005-0000-0000-0000063F0000}"/>
    <cellStyle name="Normal 198 2 3 3 3" xfId="16135" xr:uid="{00000000-0005-0000-0000-0000073F0000}"/>
    <cellStyle name="Normal 198 2 3 4" xfId="16136" xr:uid="{00000000-0005-0000-0000-0000083F0000}"/>
    <cellStyle name="Normal 198 2 3 4 2" xfId="16137" xr:uid="{00000000-0005-0000-0000-0000093F0000}"/>
    <cellStyle name="Normal 198 2 3 4 2 2" xfId="16138" xr:uid="{00000000-0005-0000-0000-00000A3F0000}"/>
    <cellStyle name="Normal 198 2 3 4 3" xfId="16139" xr:uid="{00000000-0005-0000-0000-00000B3F0000}"/>
    <cellStyle name="Normal 198 2 3 5" xfId="16140" xr:uid="{00000000-0005-0000-0000-00000C3F0000}"/>
    <cellStyle name="Normal 198 2 3 5 2" xfId="16141" xr:uid="{00000000-0005-0000-0000-00000D3F0000}"/>
    <cellStyle name="Normal 198 2 3 5 2 2" xfId="16142" xr:uid="{00000000-0005-0000-0000-00000E3F0000}"/>
    <cellStyle name="Normal 198 2 3 5 3" xfId="16143" xr:uid="{00000000-0005-0000-0000-00000F3F0000}"/>
    <cellStyle name="Normal 198 2 3 6" xfId="16144" xr:uid="{00000000-0005-0000-0000-0000103F0000}"/>
    <cellStyle name="Normal 198 2 4" xfId="16145" xr:uid="{00000000-0005-0000-0000-0000113F0000}"/>
    <cellStyle name="Normal 198 2 4 2" xfId="16146" xr:uid="{00000000-0005-0000-0000-0000123F0000}"/>
    <cellStyle name="Normal 198 2 4 2 2" xfId="16147" xr:uid="{00000000-0005-0000-0000-0000133F0000}"/>
    <cellStyle name="Normal 198 2 4 3" xfId="16148" xr:uid="{00000000-0005-0000-0000-0000143F0000}"/>
    <cellStyle name="Normal 198 2 5" xfId="16149" xr:uid="{00000000-0005-0000-0000-0000153F0000}"/>
    <cellStyle name="Normal 198 2 5 2" xfId="16150" xr:uid="{00000000-0005-0000-0000-0000163F0000}"/>
    <cellStyle name="Normal 198 2 5 2 2" xfId="16151" xr:uid="{00000000-0005-0000-0000-0000173F0000}"/>
    <cellStyle name="Normal 198 2 5 3" xfId="16152" xr:uid="{00000000-0005-0000-0000-0000183F0000}"/>
    <cellStyle name="Normal 198 2 6" xfId="16153" xr:uid="{00000000-0005-0000-0000-0000193F0000}"/>
    <cellStyle name="Normal 198 2 6 2" xfId="16154" xr:uid="{00000000-0005-0000-0000-00001A3F0000}"/>
    <cellStyle name="Normal 198 2 6 2 2" xfId="16155" xr:uid="{00000000-0005-0000-0000-00001B3F0000}"/>
    <cellStyle name="Normal 198 2 6 3" xfId="16156" xr:uid="{00000000-0005-0000-0000-00001C3F0000}"/>
    <cellStyle name="Normal 198 2 7" xfId="16157" xr:uid="{00000000-0005-0000-0000-00001D3F0000}"/>
    <cellStyle name="Normal 198 3" xfId="16158" xr:uid="{00000000-0005-0000-0000-00001E3F0000}"/>
    <cellStyle name="Normal 198 3 2" xfId="16159" xr:uid="{00000000-0005-0000-0000-00001F3F0000}"/>
    <cellStyle name="Normal 198 3 2 2" xfId="16160" xr:uid="{00000000-0005-0000-0000-0000203F0000}"/>
    <cellStyle name="Normal 198 3 3" xfId="16161" xr:uid="{00000000-0005-0000-0000-0000213F0000}"/>
    <cellStyle name="Normal 198 3 3 2" xfId="16162" xr:uid="{00000000-0005-0000-0000-0000223F0000}"/>
    <cellStyle name="Normal 198 3 3 2 2" xfId="16163" xr:uid="{00000000-0005-0000-0000-0000233F0000}"/>
    <cellStyle name="Normal 198 3 3 3" xfId="16164" xr:uid="{00000000-0005-0000-0000-0000243F0000}"/>
    <cellStyle name="Normal 198 3 4" xfId="16165" xr:uid="{00000000-0005-0000-0000-0000253F0000}"/>
    <cellStyle name="Normal 198 3 4 2" xfId="16166" xr:uid="{00000000-0005-0000-0000-0000263F0000}"/>
    <cellStyle name="Normal 198 3 4 2 2" xfId="16167" xr:uid="{00000000-0005-0000-0000-0000273F0000}"/>
    <cellStyle name="Normal 198 3 4 3" xfId="16168" xr:uid="{00000000-0005-0000-0000-0000283F0000}"/>
    <cellStyle name="Normal 198 3 5" xfId="16169" xr:uid="{00000000-0005-0000-0000-0000293F0000}"/>
    <cellStyle name="Normal 198 4" xfId="16170" xr:uid="{00000000-0005-0000-0000-00002A3F0000}"/>
    <cellStyle name="Normal 198 4 2" xfId="16171" xr:uid="{00000000-0005-0000-0000-00002B3F0000}"/>
    <cellStyle name="Normal 198 4 2 2" xfId="16172" xr:uid="{00000000-0005-0000-0000-00002C3F0000}"/>
    <cellStyle name="Normal 198 4 2 2 2" xfId="16173" xr:uid="{00000000-0005-0000-0000-00002D3F0000}"/>
    <cellStyle name="Normal 198 4 2 3" xfId="16174" xr:uid="{00000000-0005-0000-0000-00002E3F0000}"/>
    <cellStyle name="Normal 198 4 2 3 2" xfId="16175" xr:uid="{00000000-0005-0000-0000-00002F3F0000}"/>
    <cellStyle name="Normal 198 4 2 3 2 2" xfId="16176" xr:uid="{00000000-0005-0000-0000-0000303F0000}"/>
    <cellStyle name="Normal 198 4 2 3 3" xfId="16177" xr:uid="{00000000-0005-0000-0000-0000313F0000}"/>
    <cellStyle name="Normal 198 4 2 4" xfId="16178" xr:uid="{00000000-0005-0000-0000-0000323F0000}"/>
    <cellStyle name="Normal 198 4 3" xfId="16179" xr:uid="{00000000-0005-0000-0000-0000333F0000}"/>
    <cellStyle name="Normal 198 4 3 2" xfId="16180" xr:uid="{00000000-0005-0000-0000-0000343F0000}"/>
    <cellStyle name="Normal 198 4 3 2 2" xfId="16181" xr:uid="{00000000-0005-0000-0000-0000353F0000}"/>
    <cellStyle name="Normal 198 4 3 3" xfId="16182" xr:uid="{00000000-0005-0000-0000-0000363F0000}"/>
    <cellStyle name="Normal 198 4 4" xfId="16183" xr:uid="{00000000-0005-0000-0000-0000373F0000}"/>
    <cellStyle name="Normal 198 4 4 2" xfId="16184" xr:uid="{00000000-0005-0000-0000-0000383F0000}"/>
    <cellStyle name="Normal 198 4 4 2 2" xfId="16185" xr:uid="{00000000-0005-0000-0000-0000393F0000}"/>
    <cellStyle name="Normal 198 4 4 3" xfId="16186" xr:uid="{00000000-0005-0000-0000-00003A3F0000}"/>
    <cellStyle name="Normal 198 4 5" xfId="16187" xr:uid="{00000000-0005-0000-0000-00003B3F0000}"/>
    <cellStyle name="Normal 198 4 5 2" xfId="16188" xr:uid="{00000000-0005-0000-0000-00003C3F0000}"/>
    <cellStyle name="Normal 198 4 5 2 2" xfId="16189" xr:uid="{00000000-0005-0000-0000-00003D3F0000}"/>
    <cellStyle name="Normal 198 4 5 3" xfId="16190" xr:uid="{00000000-0005-0000-0000-00003E3F0000}"/>
    <cellStyle name="Normal 198 4 6" xfId="16191" xr:uid="{00000000-0005-0000-0000-00003F3F0000}"/>
    <cellStyle name="Normal 198 5" xfId="16192" xr:uid="{00000000-0005-0000-0000-0000403F0000}"/>
    <cellStyle name="Normal 198 5 2" xfId="16193" xr:uid="{00000000-0005-0000-0000-0000413F0000}"/>
    <cellStyle name="Normal 198 5 2 2" xfId="16194" xr:uid="{00000000-0005-0000-0000-0000423F0000}"/>
    <cellStyle name="Normal 198 5 3" xfId="16195" xr:uid="{00000000-0005-0000-0000-0000433F0000}"/>
    <cellStyle name="Normal 198 6" xfId="16196" xr:uid="{00000000-0005-0000-0000-0000443F0000}"/>
    <cellStyle name="Normal 198 6 2" xfId="16197" xr:uid="{00000000-0005-0000-0000-0000453F0000}"/>
    <cellStyle name="Normal 198 6 2 2" xfId="16198" xr:uid="{00000000-0005-0000-0000-0000463F0000}"/>
    <cellStyle name="Normal 198 6 3" xfId="16199" xr:uid="{00000000-0005-0000-0000-0000473F0000}"/>
    <cellStyle name="Normal 198 7" xfId="16200" xr:uid="{00000000-0005-0000-0000-0000483F0000}"/>
    <cellStyle name="Normal 198 7 2" xfId="16201" xr:uid="{00000000-0005-0000-0000-0000493F0000}"/>
    <cellStyle name="Normal 198 7 2 2" xfId="16202" xr:uid="{00000000-0005-0000-0000-00004A3F0000}"/>
    <cellStyle name="Normal 198 7 3" xfId="16203" xr:uid="{00000000-0005-0000-0000-00004B3F0000}"/>
    <cellStyle name="Normal 198 8" xfId="16204" xr:uid="{00000000-0005-0000-0000-00004C3F0000}"/>
    <cellStyle name="Normal 199" xfId="16205" xr:uid="{00000000-0005-0000-0000-00004D3F0000}"/>
    <cellStyle name="Normal 199 2" xfId="16206" xr:uid="{00000000-0005-0000-0000-00004E3F0000}"/>
    <cellStyle name="Normal 199 2 2" xfId="16207" xr:uid="{00000000-0005-0000-0000-00004F3F0000}"/>
    <cellStyle name="Normal 199 2 2 2" xfId="16208" xr:uid="{00000000-0005-0000-0000-0000503F0000}"/>
    <cellStyle name="Normal 199 2 2 2 2" xfId="16209" xr:uid="{00000000-0005-0000-0000-0000513F0000}"/>
    <cellStyle name="Normal 199 2 2 3" xfId="16210" xr:uid="{00000000-0005-0000-0000-0000523F0000}"/>
    <cellStyle name="Normal 199 2 2 3 2" xfId="16211" xr:uid="{00000000-0005-0000-0000-0000533F0000}"/>
    <cellStyle name="Normal 199 2 2 3 2 2" xfId="16212" xr:uid="{00000000-0005-0000-0000-0000543F0000}"/>
    <cellStyle name="Normal 199 2 2 3 3" xfId="16213" xr:uid="{00000000-0005-0000-0000-0000553F0000}"/>
    <cellStyle name="Normal 199 2 2 4" xfId="16214" xr:uid="{00000000-0005-0000-0000-0000563F0000}"/>
    <cellStyle name="Normal 199 2 2 4 2" xfId="16215" xr:uid="{00000000-0005-0000-0000-0000573F0000}"/>
    <cellStyle name="Normal 199 2 2 4 2 2" xfId="16216" xr:uid="{00000000-0005-0000-0000-0000583F0000}"/>
    <cellStyle name="Normal 199 2 2 4 3" xfId="16217" xr:uid="{00000000-0005-0000-0000-0000593F0000}"/>
    <cellStyle name="Normal 199 2 2 5" xfId="16218" xr:uid="{00000000-0005-0000-0000-00005A3F0000}"/>
    <cellStyle name="Normal 199 2 3" xfId="16219" xr:uid="{00000000-0005-0000-0000-00005B3F0000}"/>
    <cellStyle name="Normal 199 2 3 2" xfId="16220" xr:uid="{00000000-0005-0000-0000-00005C3F0000}"/>
    <cellStyle name="Normal 199 2 3 2 2" xfId="16221" xr:uid="{00000000-0005-0000-0000-00005D3F0000}"/>
    <cellStyle name="Normal 199 2 3 2 2 2" xfId="16222" xr:uid="{00000000-0005-0000-0000-00005E3F0000}"/>
    <cellStyle name="Normal 199 2 3 2 3" xfId="16223" xr:uid="{00000000-0005-0000-0000-00005F3F0000}"/>
    <cellStyle name="Normal 199 2 3 2 3 2" xfId="16224" xr:uid="{00000000-0005-0000-0000-0000603F0000}"/>
    <cellStyle name="Normal 199 2 3 2 3 2 2" xfId="16225" xr:uid="{00000000-0005-0000-0000-0000613F0000}"/>
    <cellStyle name="Normal 199 2 3 2 3 3" xfId="16226" xr:uid="{00000000-0005-0000-0000-0000623F0000}"/>
    <cellStyle name="Normal 199 2 3 2 4" xfId="16227" xr:uid="{00000000-0005-0000-0000-0000633F0000}"/>
    <cellStyle name="Normal 199 2 3 3" xfId="16228" xr:uid="{00000000-0005-0000-0000-0000643F0000}"/>
    <cellStyle name="Normal 199 2 3 3 2" xfId="16229" xr:uid="{00000000-0005-0000-0000-0000653F0000}"/>
    <cellStyle name="Normal 199 2 3 3 2 2" xfId="16230" xr:uid="{00000000-0005-0000-0000-0000663F0000}"/>
    <cellStyle name="Normal 199 2 3 3 3" xfId="16231" xr:uid="{00000000-0005-0000-0000-0000673F0000}"/>
    <cellStyle name="Normal 199 2 3 4" xfId="16232" xr:uid="{00000000-0005-0000-0000-0000683F0000}"/>
    <cellStyle name="Normal 199 2 3 4 2" xfId="16233" xr:uid="{00000000-0005-0000-0000-0000693F0000}"/>
    <cellStyle name="Normal 199 2 3 4 2 2" xfId="16234" xr:uid="{00000000-0005-0000-0000-00006A3F0000}"/>
    <cellStyle name="Normal 199 2 3 4 3" xfId="16235" xr:uid="{00000000-0005-0000-0000-00006B3F0000}"/>
    <cellStyle name="Normal 199 2 3 5" xfId="16236" xr:uid="{00000000-0005-0000-0000-00006C3F0000}"/>
    <cellStyle name="Normal 199 2 3 5 2" xfId="16237" xr:uid="{00000000-0005-0000-0000-00006D3F0000}"/>
    <cellStyle name="Normal 199 2 3 5 2 2" xfId="16238" xr:uid="{00000000-0005-0000-0000-00006E3F0000}"/>
    <cellStyle name="Normal 199 2 3 5 3" xfId="16239" xr:uid="{00000000-0005-0000-0000-00006F3F0000}"/>
    <cellStyle name="Normal 199 2 3 6" xfId="16240" xr:uid="{00000000-0005-0000-0000-0000703F0000}"/>
    <cellStyle name="Normal 199 2 4" xfId="16241" xr:uid="{00000000-0005-0000-0000-0000713F0000}"/>
    <cellStyle name="Normal 199 2 4 2" xfId="16242" xr:uid="{00000000-0005-0000-0000-0000723F0000}"/>
    <cellStyle name="Normal 199 2 4 2 2" xfId="16243" xr:uid="{00000000-0005-0000-0000-0000733F0000}"/>
    <cellStyle name="Normal 199 2 4 3" xfId="16244" xr:uid="{00000000-0005-0000-0000-0000743F0000}"/>
    <cellStyle name="Normal 199 2 5" xfId="16245" xr:uid="{00000000-0005-0000-0000-0000753F0000}"/>
    <cellStyle name="Normal 199 2 5 2" xfId="16246" xr:uid="{00000000-0005-0000-0000-0000763F0000}"/>
    <cellStyle name="Normal 199 2 5 2 2" xfId="16247" xr:uid="{00000000-0005-0000-0000-0000773F0000}"/>
    <cellStyle name="Normal 199 2 5 3" xfId="16248" xr:uid="{00000000-0005-0000-0000-0000783F0000}"/>
    <cellStyle name="Normal 199 2 6" xfId="16249" xr:uid="{00000000-0005-0000-0000-0000793F0000}"/>
    <cellStyle name="Normal 199 2 6 2" xfId="16250" xr:uid="{00000000-0005-0000-0000-00007A3F0000}"/>
    <cellStyle name="Normal 199 2 6 2 2" xfId="16251" xr:uid="{00000000-0005-0000-0000-00007B3F0000}"/>
    <cellStyle name="Normal 199 2 6 3" xfId="16252" xr:uid="{00000000-0005-0000-0000-00007C3F0000}"/>
    <cellStyle name="Normal 199 2 7" xfId="16253" xr:uid="{00000000-0005-0000-0000-00007D3F0000}"/>
    <cellStyle name="Normal 199 3" xfId="16254" xr:uid="{00000000-0005-0000-0000-00007E3F0000}"/>
    <cellStyle name="Normal 199 3 2" xfId="16255" xr:uid="{00000000-0005-0000-0000-00007F3F0000}"/>
    <cellStyle name="Normal 199 3 2 2" xfId="16256" xr:uid="{00000000-0005-0000-0000-0000803F0000}"/>
    <cellStyle name="Normal 199 3 3" xfId="16257" xr:uid="{00000000-0005-0000-0000-0000813F0000}"/>
    <cellStyle name="Normal 199 3 3 2" xfId="16258" xr:uid="{00000000-0005-0000-0000-0000823F0000}"/>
    <cellStyle name="Normal 199 3 3 2 2" xfId="16259" xr:uid="{00000000-0005-0000-0000-0000833F0000}"/>
    <cellStyle name="Normal 199 3 3 3" xfId="16260" xr:uid="{00000000-0005-0000-0000-0000843F0000}"/>
    <cellStyle name="Normal 199 3 4" xfId="16261" xr:uid="{00000000-0005-0000-0000-0000853F0000}"/>
    <cellStyle name="Normal 199 3 4 2" xfId="16262" xr:uid="{00000000-0005-0000-0000-0000863F0000}"/>
    <cellStyle name="Normal 199 3 4 2 2" xfId="16263" xr:uid="{00000000-0005-0000-0000-0000873F0000}"/>
    <cellStyle name="Normal 199 3 4 3" xfId="16264" xr:uid="{00000000-0005-0000-0000-0000883F0000}"/>
    <cellStyle name="Normal 199 3 5" xfId="16265" xr:uid="{00000000-0005-0000-0000-0000893F0000}"/>
    <cellStyle name="Normal 199 4" xfId="16266" xr:uid="{00000000-0005-0000-0000-00008A3F0000}"/>
    <cellStyle name="Normal 199 4 2" xfId="16267" xr:uid="{00000000-0005-0000-0000-00008B3F0000}"/>
    <cellStyle name="Normal 199 4 2 2" xfId="16268" xr:uid="{00000000-0005-0000-0000-00008C3F0000}"/>
    <cellStyle name="Normal 199 4 2 2 2" xfId="16269" xr:uid="{00000000-0005-0000-0000-00008D3F0000}"/>
    <cellStyle name="Normal 199 4 2 3" xfId="16270" xr:uid="{00000000-0005-0000-0000-00008E3F0000}"/>
    <cellStyle name="Normal 199 4 2 3 2" xfId="16271" xr:uid="{00000000-0005-0000-0000-00008F3F0000}"/>
    <cellStyle name="Normal 199 4 2 3 2 2" xfId="16272" xr:uid="{00000000-0005-0000-0000-0000903F0000}"/>
    <cellStyle name="Normal 199 4 2 3 3" xfId="16273" xr:uid="{00000000-0005-0000-0000-0000913F0000}"/>
    <cellStyle name="Normal 199 4 2 4" xfId="16274" xr:uid="{00000000-0005-0000-0000-0000923F0000}"/>
    <cellStyle name="Normal 199 4 3" xfId="16275" xr:uid="{00000000-0005-0000-0000-0000933F0000}"/>
    <cellStyle name="Normal 199 4 3 2" xfId="16276" xr:uid="{00000000-0005-0000-0000-0000943F0000}"/>
    <cellStyle name="Normal 199 4 3 2 2" xfId="16277" xr:uid="{00000000-0005-0000-0000-0000953F0000}"/>
    <cellStyle name="Normal 199 4 3 3" xfId="16278" xr:uid="{00000000-0005-0000-0000-0000963F0000}"/>
    <cellStyle name="Normal 199 4 4" xfId="16279" xr:uid="{00000000-0005-0000-0000-0000973F0000}"/>
    <cellStyle name="Normal 199 4 4 2" xfId="16280" xr:uid="{00000000-0005-0000-0000-0000983F0000}"/>
    <cellStyle name="Normal 199 4 4 2 2" xfId="16281" xr:uid="{00000000-0005-0000-0000-0000993F0000}"/>
    <cellStyle name="Normal 199 4 4 3" xfId="16282" xr:uid="{00000000-0005-0000-0000-00009A3F0000}"/>
    <cellStyle name="Normal 199 4 5" xfId="16283" xr:uid="{00000000-0005-0000-0000-00009B3F0000}"/>
    <cellStyle name="Normal 199 4 5 2" xfId="16284" xr:uid="{00000000-0005-0000-0000-00009C3F0000}"/>
    <cellStyle name="Normal 199 4 5 2 2" xfId="16285" xr:uid="{00000000-0005-0000-0000-00009D3F0000}"/>
    <cellStyle name="Normal 199 4 5 3" xfId="16286" xr:uid="{00000000-0005-0000-0000-00009E3F0000}"/>
    <cellStyle name="Normal 199 4 6" xfId="16287" xr:uid="{00000000-0005-0000-0000-00009F3F0000}"/>
    <cellStyle name="Normal 199 5" xfId="16288" xr:uid="{00000000-0005-0000-0000-0000A03F0000}"/>
    <cellStyle name="Normal 199 5 2" xfId="16289" xr:uid="{00000000-0005-0000-0000-0000A13F0000}"/>
    <cellStyle name="Normal 199 5 2 2" xfId="16290" xr:uid="{00000000-0005-0000-0000-0000A23F0000}"/>
    <cellStyle name="Normal 199 5 3" xfId="16291" xr:uid="{00000000-0005-0000-0000-0000A33F0000}"/>
    <cellStyle name="Normal 199 6" xfId="16292" xr:uid="{00000000-0005-0000-0000-0000A43F0000}"/>
    <cellStyle name="Normal 199 6 2" xfId="16293" xr:uid="{00000000-0005-0000-0000-0000A53F0000}"/>
    <cellStyle name="Normal 199 6 2 2" xfId="16294" xr:uid="{00000000-0005-0000-0000-0000A63F0000}"/>
    <cellStyle name="Normal 199 6 3" xfId="16295" xr:uid="{00000000-0005-0000-0000-0000A73F0000}"/>
    <cellStyle name="Normal 199 7" xfId="16296" xr:uid="{00000000-0005-0000-0000-0000A83F0000}"/>
    <cellStyle name="Normal 199 7 2" xfId="16297" xr:uid="{00000000-0005-0000-0000-0000A93F0000}"/>
    <cellStyle name="Normal 199 7 2 2" xfId="16298" xr:uid="{00000000-0005-0000-0000-0000AA3F0000}"/>
    <cellStyle name="Normal 199 7 3" xfId="16299" xr:uid="{00000000-0005-0000-0000-0000AB3F0000}"/>
    <cellStyle name="Normal 199 8" xfId="16300" xr:uid="{00000000-0005-0000-0000-0000AC3F0000}"/>
    <cellStyle name="Normal 2" xfId="11" xr:uid="{00000000-0005-0000-0000-00000B000000}"/>
    <cellStyle name="Normal 2 10" xfId="16301" xr:uid="{00000000-0005-0000-0000-0000AD3F0000}"/>
    <cellStyle name="Normal 2 10 2" xfId="16302" xr:uid="{00000000-0005-0000-0000-0000AE3F0000}"/>
    <cellStyle name="Normal 2 11" xfId="16303" xr:uid="{00000000-0005-0000-0000-0000AF3F0000}"/>
    <cellStyle name="Normal 2 12" xfId="16304" xr:uid="{00000000-0005-0000-0000-0000B03F0000}"/>
    <cellStyle name="Normal 2 13" xfId="16305" xr:uid="{00000000-0005-0000-0000-0000B13F0000}"/>
    <cellStyle name="Normal 2 14" xfId="16306" xr:uid="{00000000-0005-0000-0000-0000B23F0000}"/>
    <cellStyle name="Normal 2 15" xfId="16307" xr:uid="{00000000-0005-0000-0000-0000B33F0000}"/>
    <cellStyle name="Normal 2 2" xfId="16308" xr:uid="{00000000-0005-0000-0000-0000B43F0000}"/>
    <cellStyle name="Normal 2 2 2" xfId="6" xr:uid="{00000000-0005-0000-0000-000006000000}"/>
    <cellStyle name="Normal 2 2 2 2" xfId="16309" xr:uid="{00000000-0005-0000-0000-0000B53F0000}"/>
    <cellStyle name="Normal 2 2 2 2 2" xfId="16310" xr:uid="{00000000-0005-0000-0000-0000B63F0000}"/>
    <cellStyle name="Normal 2 2 2 2 2 2" xfId="16311" xr:uid="{00000000-0005-0000-0000-0000B73F0000}"/>
    <cellStyle name="Normal 2 2 2 2 3" xfId="16312" xr:uid="{00000000-0005-0000-0000-0000B83F0000}"/>
    <cellStyle name="Normal 2 2 2 2 3 2" xfId="16313" xr:uid="{00000000-0005-0000-0000-0000B93F0000}"/>
    <cellStyle name="Normal 2 2 2 2 3 2 2" xfId="16314" xr:uid="{00000000-0005-0000-0000-0000BA3F0000}"/>
    <cellStyle name="Normal 2 2 2 2 3 3" xfId="16315" xr:uid="{00000000-0005-0000-0000-0000BB3F0000}"/>
    <cellStyle name="Normal 2 2 2 2 4" xfId="16316" xr:uid="{00000000-0005-0000-0000-0000BC3F0000}"/>
    <cellStyle name="Normal 2 2 2 2 4 2" xfId="16317" xr:uid="{00000000-0005-0000-0000-0000BD3F0000}"/>
    <cellStyle name="Normal 2 2 2 2 4 2 2" xfId="16318" xr:uid="{00000000-0005-0000-0000-0000BE3F0000}"/>
    <cellStyle name="Normal 2 2 2 2 4 3" xfId="16319" xr:uid="{00000000-0005-0000-0000-0000BF3F0000}"/>
    <cellStyle name="Normal 2 2 2 2 5" xfId="16320" xr:uid="{00000000-0005-0000-0000-0000C03F0000}"/>
    <cellStyle name="Normal 2 2 2 3" xfId="16321" xr:uid="{00000000-0005-0000-0000-0000C13F0000}"/>
    <cellStyle name="Normal 2 2 2 3 2" xfId="16322" xr:uid="{00000000-0005-0000-0000-0000C23F0000}"/>
    <cellStyle name="Normal 2 2 2 3 2 2" xfId="16323" xr:uid="{00000000-0005-0000-0000-0000C33F0000}"/>
    <cellStyle name="Normal 2 2 2 3 2 2 2" xfId="16324" xr:uid="{00000000-0005-0000-0000-0000C43F0000}"/>
    <cellStyle name="Normal 2 2 2 3 2 3" xfId="16325" xr:uid="{00000000-0005-0000-0000-0000C53F0000}"/>
    <cellStyle name="Normal 2 2 2 3 2 3 2" xfId="16326" xr:uid="{00000000-0005-0000-0000-0000C63F0000}"/>
    <cellStyle name="Normal 2 2 2 3 2 3 2 2" xfId="16327" xr:uid="{00000000-0005-0000-0000-0000C73F0000}"/>
    <cellStyle name="Normal 2 2 2 3 2 3 3" xfId="16328" xr:uid="{00000000-0005-0000-0000-0000C83F0000}"/>
    <cellStyle name="Normal 2 2 2 3 2 4" xfId="16329" xr:uid="{00000000-0005-0000-0000-0000C93F0000}"/>
    <cellStyle name="Normal 2 2 2 3 3" xfId="16330" xr:uid="{00000000-0005-0000-0000-0000CA3F0000}"/>
    <cellStyle name="Normal 2 2 2 3 3 2" xfId="16331" xr:uid="{00000000-0005-0000-0000-0000CB3F0000}"/>
    <cellStyle name="Normal 2 2 2 3 3 2 2" xfId="16332" xr:uid="{00000000-0005-0000-0000-0000CC3F0000}"/>
    <cellStyle name="Normal 2 2 2 3 3 3" xfId="16333" xr:uid="{00000000-0005-0000-0000-0000CD3F0000}"/>
    <cellStyle name="Normal 2 2 2 3 4" xfId="16334" xr:uid="{00000000-0005-0000-0000-0000CE3F0000}"/>
    <cellStyle name="Normal 2 2 2 3 4 2" xfId="16335" xr:uid="{00000000-0005-0000-0000-0000CF3F0000}"/>
    <cellStyle name="Normal 2 2 2 3 4 2 2" xfId="16336" xr:uid="{00000000-0005-0000-0000-0000D03F0000}"/>
    <cellStyle name="Normal 2 2 2 3 4 3" xfId="16337" xr:uid="{00000000-0005-0000-0000-0000D13F0000}"/>
    <cellStyle name="Normal 2 2 2 3 5" xfId="16338" xr:uid="{00000000-0005-0000-0000-0000D23F0000}"/>
    <cellStyle name="Normal 2 2 2 3 5 2" xfId="16339" xr:uid="{00000000-0005-0000-0000-0000D33F0000}"/>
    <cellStyle name="Normal 2 2 2 3 5 2 2" xfId="16340" xr:uid="{00000000-0005-0000-0000-0000D43F0000}"/>
    <cellStyle name="Normal 2 2 2 3 5 3" xfId="16341" xr:uid="{00000000-0005-0000-0000-0000D53F0000}"/>
    <cellStyle name="Normal 2 2 2 3 6" xfId="16342" xr:uid="{00000000-0005-0000-0000-0000D63F0000}"/>
    <cellStyle name="Normal 2 2 2 4" xfId="16343" xr:uid="{00000000-0005-0000-0000-0000D73F0000}"/>
    <cellStyle name="Normal 2 2 2 4 2" xfId="16344" xr:uid="{00000000-0005-0000-0000-0000D83F0000}"/>
    <cellStyle name="Normal 2 2 2 4 2 2" xfId="16345" xr:uid="{00000000-0005-0000-0000-0000D93F0000}"/>
    <cellStyle name="Normal 2 2 2 4 3" xfId="16346" xr:uid="{00000000-0005-0000-0000-0000DA3F0000}"/>
    <cellStyle name="Normal 2 2 2 5" xfId="16347" xr:uid="{00000000-0005-0000-0000-0000DB3F0000}"/>
    <cellStyle name="Normal 2 2 2 5 2" xfId="16348" xr:uid="{00000000-0005-0000-0000-0000DC3F0000}"/>
    <cellStyle name="Normal 2 2 2 5 2 2" xfId="16349" xr:uid="{00000000-0005-0000-0000-0000DD3F0000}"/>
    <cellStyle name="Normal 2 2 2 5 3" xfId="16350" xr:uid="{00000000-0005-0000-0000-0000DE3F0000}"/>
    <cellStyle name="Normal 2 2 2 6" xfId="16351" xr:uid="{00000000-0005-0000-0000-0000DF3F0000}"/>
    <cellStyle name="Normal 2 2 2 6 2" xfId="16352" xr:uid="{00000000-0005-0000-0000-0000E03F0000}"/>
    <cellStyle name="Normal 2 2 2 6 2 2" xfId="16353" xr:uid="{00000000-0005-0000-0000-0000E13F0000}"/>
    <cellStyle name="Normal 2 2 2 6 3" xfId="16354" xr:uid="{00000000-0005-0000-0000-0000E23F0000}"/>
    <cellStyle name="Normal 2 2 2 7" xfId="16355" xr:uid="{00000000-0005-0000-0000-0000E33F0000}"/>
    <cellStyle name="Normal 2 2 3" xfId="16356" xr:uid="{00000000-0005-0000-0000-0000E43F0000}"/>
    <cellStyle name="Normal 2 2 3 2" xfId="16357" xr:uid="{00000000-0005-0000-0000-0000E53F0000}"/>
    <cellStyle name="Normal 2 2 3 2 2" xfId="16358" xr:uid="{00000000-0005-0000-0000-0000E63F0000}"/>
    <cellStyle name="Normal 2 2 3 2 2 2" xfId="16359" xr:uid="{00000000-0005-0000-0000-0000E73F0000}"/>
    <cellStyle name="Normal 2 2 3 2 3" xfId="16360" xr:uid="{00000000-0005-0000-0000-0000E83F0000}"/>
    <cellStyle name="Normal 2 2 3 2 3 2" xfId="16361" xr:uid="{00000000-0005-0000-0000-0000E93F0000}"/>
    <cellStyle name="Normal 2 2 3 2 3 2 2" xfId="16362" xr:uid="{00000000-0005-0000-0000-0000EA3F0000}"/>
    <cellStyle name="Normal 2 2 3 2 3 3" xfId="16363" xr:uid="{00000000-0005-0000-0000-0000EB3F0000}"/>
    <cellStyle name="Normal 2 2 3 2 4" xfId="16364" xr:uid="{00000000-0005-0000-0000-0000EC3F0000}"/>
    <cellStyle name="Normal 2 2 3 2 4 2" xfId="16365" xr:uid="{00000000-0005-0000-0000-0000ED3F0000}"/>
    <cellStyle name="Normal 2 2 3 2 4 2 2" xfId="16366" xr:uid="{00000000-0005-0000-0000-0000EE3F0000}"/>
    <cellStyle name="Normal 2 2 3 2 4 3" xfId="16367" xr:uid="{00000000-0005-0000-0000-0000EF3F0000}"/>
    <cellStyle name="Normal 2 2 3 2 5" xfId="16368" xr:uid="{00000000-0005-0000-0000-0000F03F0000}"/>
    <cellStyle name="Normal 2 2 3 3" xfId="16369" xr:uid="{00000000-0005-0000-0000-0000F13F0000}"/>
    <cellStyle name="Normal 2 2 3 3 2" xfId="16370" xr:uid="{00000000-0005-0000-0000-0000F23F0000}"/>
    <cellStyle name="Normal 2 2 3 3 2 2" xfId="16371" xr:uid="{00000000-0005-0000-0000-0000F33F0000}"/>
    <cellStyle name="Normal 2 2 3 3 2 2 2" xfId="16372" xr:uid="{00000000-0005-0000-0000-0000F43F0000}"/>
    <cellStyle name="Normal 2 2 3 3 2 3" xfId="16373" xr:uid="{00000000-0005-0000-0000-0000F53F0000}"/>
    <cellStyle name="Normal 2 2 3 3 2 3 2" xfId="16374" xr:uid="{00000000-0005-0000-0000-0000F63F0000}"/>
    <cellStyle name="Normal 2 2 3 3 2 3 2 2" xfId="16375" xr:uid="{00000000-0005-0000-0000-0000F73F0000}"/>
    <cellStyle name="Normal 2 2 3 3 2 3 3" xfId="16376" xr:uid="{00000000-0005-0000-0000-0000F83F0000}"/>
    <cellStyle name="Normal 2 2 3 3 2 4" xfId="16377" xr:uid="{00000000-0005-0000-0000-0000F93F0000}"/>
    <cellStyle name="Normal 2 2 3 3 3" xfId="16378" xr:uid="{00000000-0005-0000-0000-0000FA3F0000}"/>
    <cellStyle name="Normal 2 2 3 4" xfId="16379" xr:uid="{00000000-0005-0000-0000-0000FB3F0000}"/>
    <cellStyle name="Normal 2 2 3 4 2" xfId="16380" xr:uid="{00000000-0005-0000-0000-0000FC3F0000}"/>
    <cellStyle name="Normal 2 2 3 4 2 2" xfId="16381" xr:uid="{00000000-0005-0000-0000-0000FD3F0000}"/>
    <cellStyle name="Normal 2 2 3 4 3" xfId="16382" xr:uid="{00000000-0005-0000-0000-0000FE3F0000}"/>
    <cellStyle name="Normal 2 2 3 5" xfId="16383" xr:uid="{00000000-0005-0000-0000-0000FF3F0000}"/>
    <cellStyle name="Normal 2 2 3 5 2" xfId="16384" xr:uid="{00000000-0005-0000-0000-000000400000}"/>
    <cellStyle name="Normal 2 2 3 5 2 2" xfId="16385" xr:uid="{00000000-0005-0000-0000-000001400000}"/>
    <cellStyle name="Normal 2 2 3 5 3" xfId="16386" xr:uid="{00000000-0005-0000-0000-000002400000}"/>
    <cellStyle name="Normal 2 2 3 6" xfId="16387" xr:uid="{00000000-0005-0000-0000-000003400000}"/>
    <cellStyle name="Normal 2 2 4" xfId="16388" xr:uid="{00000000-0005-0000-0000-000004400000}"/>
    <cellStyle name="Normal 2 2 4 2" xfId="16389" xr:uid="{00000000-0005-0000-0000-000005400000}"/>
    <cellStyle name="Normal 2 2 4 2 2" xfId="16390" xr:uid="{00000000-0005-0000-0000-000006400000}"/>
    <cellStyle name="Normal 2 2 4 2 2 2" xfId="16391" xr:uid="{00000000-0005-0000-0000-000007400000}"/>
    <cellStyle name="Normal 2 2 4 2 3" xfId="16392" xr:uid="{00000000-0005-0000-0000-000008400000}"/>
    <cellStyle name="Normal 2 2 4 2 3 2" xfId="16393" xr:uid="{00000000-0005-0000-0000-000009400000}"/>
    <cellStyle name="Normal 2 2 4 2 3 2 2" xfId="16394" xr:uid="{00000000-0005-0000-0000-00000A400000}"/>
    <cellStyle name="Normal 2 2 4 2 3 3" xfId="16395" xr:uid="{00000000-0005-0000-0000-00000B400000}"/>
    <cellStyle name="Normal 2 2 4 2 4" xfId="16396" xr:uid="{00000000-0005-0000-0000-00000C400000}"/>
    <cellStyle name="Normal 2 2 4 2 4 2" xfId="16397" xr:uid="{00000000-0005-0000-0000-00000D400000}"/>
    <cellStyle name="Normal 2 2 4 2 4 2 2" xfId="16398" xr:uid="{00000000-0005-0000-0000-00000E400000}"/>
    <cellStyle name="Normal 2 2 4 2 4 3" xfId="16399" xr:uid="{00000000-0005-0000-0000-00000F400000}"/>
    <cellStyle name="Normal 2 2 4 2 5" xfId="16400" xr:uid="{00000000-0005-0000-0000-000010400000}"/>
    <cellStyle name="Normal 2 2 4 3" xfId="16401" xr:uid="{00000000-0005-0000-0000-000011400000}"/>
    <cellStyle name="Normal 2 2 4 3 2" xfId="16402" xr:uid="{00000000-0005-0000-0000-000012400000}"/>
    <cellStyle name="Normal 2 2 4 3 2 2" xfId="16403" xr:uid="{00000000-0005-0000-0000-000013400000}"/>
    <cellStyle name="Normal 2 2 4 3 2 2 2" xfId="16404" xr:uid="{00000000-0005-0000-0000-000014400000}"/>
    <cellStyle name="Normal 2 2 4 3 2 3" xfId="16405" xr:uid="{00000000-0005-0000-0000-000015400000}"/>
    <cellStyle name="Normal 2 2 4 3 2 3 2" xfId="16406" xr:uid="{00000000-0005-0000-0000-000016400000}"/>
    <cellStyle name="Normal 2 2 4 3 2 3 2 2" xfId="16407" xr:uid="{00000000-0005-0000-0000-000017400000}"/>
    <cellStyle name="Normal 2 2 4 3 2 3 3" xfId="16408" xr:uid="{00000000-0005-0000-0000-000018400000}"/>
    <cellStyle name="Normal 2 2 4 3 2 4" xfId="16409" xr:uid="{00000000-0005-0000-0000-000019400000}"/>
    <cellStyle name="Normal 2 2 4 3 3" xfId="16410" xr:uid="{00000000-0005-0000-0000-00001A400000}"/>
    <cellStyle name="Normal 2 2 4 3 3 2" xfId="16411" xr:uid="{00000000-0005-0000-0000-00001B400000}"/>
    <cellStyle name="Normal 2 2 4 3 3 2 2" xfId="16412" xr:uid="{00000000-0005-0000-0000-00001C400000}"/>
    <cellStyle name="Normal 2 2 4 3 3 3" xfId="16413" xr:uid="{00000000-0005-0000-0000-00001D400000}"/>
    <cellStyle name="Normal 2 2 4 3 4" xfId="16414" xr:uid="{00000000-0005-0000-0000-00001E400000}"/>
    <cellStyle name="Normal 2 2 4 3 4 2" xfId="16415" xr:uid="{00000000-0005-0000-0000-00001F400000}"/>
    <cellStyle name="Normal 2 2 4 3 4 2 2" xfId="16416" xr:uid="{00000000-0005-0000-0000-000020400000}"/>
    <cellStyle name="Normal 2 2 4 3 4 3" xfId="16417" xr:uid="{00000000-0005-0000-0000-000021400000}"/>
    <cellStyle name="Normal 2 2 4 3 5" xfId="16418" xr:uid="{00000000-0005-0000-0000-000022400000}"/>
    <cellStyle name="Normal 2 2 4 3 5 2" xfId="16419" xr:uid="{00000000-0005-0000-0000-000023400000}"/>
    <cellStyle name="Normal 2 2 4 3 5 2 2" xfId="16420" xr:uid="{00000000-0005-0000-0000-000024400000}"/>
    <cellStyle name="Normal 2 2 4 3 5 3" xfId="16421" xr:uid="{00000000-0005-0000-0000-000025400000}"/>
    <cellStyle name="Normal 2 2 4 3 6" xfId="16422" xr:uid="{00000000-0005-0000-0000-000026400000}"/>
    <cellStyle name="Normal 2 2 4 4" xfId="16423" xr:uid="{00000000-0005-0000-0000-000027400000}"/>
    <cellStyle name="Normal 2 2 5" xfId="16424" xr:uid="{00000000-0005-0000-0000-000028400000}"/>
    <cellStyle name="Normal 2 2 5 2" xfId="16425" xr:uid="{00000000-0005-0000-0000-000029400000}"/>
    <cellStyle name="Normal 2 2 5 2 2" xfId="16426" xr:uid="{00000000-0005-0000-0000-00002A400000}"/>
    <cellStyle name="Normal 2 2 5 3" xfId="16427" xr:uid="{00000000-0005-0000-0000-00002B400000}"/>
    <cellStyle name="Normal 2 2 5 3 2" xfId="16428" xr:uid="{00000000-0005-0000-0000-00002C400000}"/>
    <cellStyle name="Normal 2 2 5 3 2 2" xfId="16429" xr:uid="{00000000-0005-0000-0000-00002D400000}"/>
    <cellStyle name="Normal 2 2 5 3 3" xfId="16430" xr:uid="{00000000-0005-0000-0000-00002E400000}"/>
    <cellStyle name="Normal 2 2 5 4" xfId="16431" xr:uid="{00000000-0005-0000-0000-00002F400000}"/>
    <cellStyle name="Normal 2 2 5 4 2" xfId="16432" xr:uid="{00000000-0005-0000-0000-000030400000}"/>
    <cellStyle name="Normal 2 2 5 4 2 2" xfId="16433" xr:uid="{00000000-0005-0000-0000-000031400000}"/>
    <cellStyle name="Normal 2 2 5 4 3" xfId="16434" xr:uid="{00000000-0005-0000-0000-000032400000}"/>
    <cellStyle name="Normal 2 2 5 5" xfId="16435" xr:uid="{00000000-0005-0000-0000-000033400000}"/>
    <cellStyle name="Normal 2 2 6" xfId="16436" xr:uid="{00000000-0005-0000-0000-000034400000}"/>
    <cellStyle name="Normal 2 2 6 2" xfId="16437" xr:uid="{00000000-0005-0000-0000-000035400000}"/>
    <cellStyle name="Normal 2 2 6 2 2" xfId="16438" xr:uid="{00000000-0005-0000-0000-000036400000}"/>
    <cellStyle name="Normal 2 2 6 2 2 2" xfId="16439" xr:uid="{00000000-0005-0000-0000-000037400000}"/>
    <cellStyle name="Normal 2 2 6 2 3" xfId="16440" xr:uid="{00000000-0005-0000-0000-000038400000}"/>
    <cellStyle name="Normal 2 2 6 2 3 2" xfId="16441" xr:uid="{00000000-0005-0000-0000-000039400000}"/>
    <cellStyle name="Normal 2 2 6 2 3 2 2" xfId="16442" xr:uid="{00000000-0005-0000-0000-00003A400000}"/>
    <cellStyle name="Normal 2 2 6 2 3 3" xfId="16443" xr:uid="{00000000-0005-0000-0000-00003B400000}"/>
    <cellStyle name="Normal 2 2 6 2 4" xfId="16444" xr:uid="{00000000-0005-0000-0000-00003C400000}"/>
    <cellStyle name="Normal 2 2 6 3" xfId="16445" xr:uid="{00000000-0005-0000-0000-00003D400000}"/>
    <cellStyle name="Normal 2 2 6 3 2" xfId="16446" xr:uid="{00000000-0005-0000-0000-00003E400000}"/>
    <cellStyle name="Normal 2 2 6 3 2 2" xfId="16447" xr:uid="{00000000-0005-0000-0000-00003F400000}"/>
    <cellStyle name="Normal 2 2 6 3 3" xfId="16448" xr:uid="{00000000-0005-0000-0000-000040400000}"/>
    <cellStyle name="Normal 2 2 6 4" xfId="16449" xr:uid="{00000000-0005-0000-0000-000041400000}"/>
    <cellStyle name="Normal 2 2 6 4 2" xfId="16450" xr:uid="{00000000-0005-0000-0000-000042400000}"/>
    <cellStyle name="Normal 2 2 6 4 2 2" xfId="16451" xr:uid="{00000000-0005-0000-0000-000043400000}"/>
    <cellStyle name="Normal 2 2 6 4 3" xfId="16452" xr:uid="{00000000-0005-0000-0000-000044400000}"/>
    <cellStyle name="Normal 2 2 6 5" xfId="16453" xr:uid="{00000000-0005-0000-0000-000045400000}"/>
    <cellStyle name="Normal 2 2 6 5 2" xfId="16454" xr:uid="{00000000-0005-0000-0000-000046400000}"/>
    <cellStyle name="Normal 2 2 6 5 2 2" xfId="16455" xr:uid="{00000000-0005-0000-0000-000047400000}"/>
    <cellStyle name="Normal 2 2 6 5 3" xfId="16456" xr:uid="{00000000-0005-0000-0000-000048400000}"/>
    <cellStyle name="Normal 2 2 6 6" xfId="16457" xr:uid="{00000000-0005-0000-0000-000049400000}"/>
    <cellStyle name="Normal 2 2 7" xfId="16458" xr:uid="{00000000-0005-0000-0000-00004A400000}"/>
    <cellStyle name="Normal 2 2 7 2" xfId="16459" xr:uid="{00000000-0005-0000-0000-00004B400000}"/>
    <cellStyle name="Normal 2 2 7 2 2" xfId="16460" xr:uid="{00000000-0005-0000-0000-00004C400000}"/>
    <cellStyle name="Normal 2 2 7 3" xfId="16461" xr:uid="{00000000-0005-0000-0000-00004D400000}"/>
    <cellStyle name="Normal 2 2 8" xfId="16462" xr:uid="{00000000-0005-0000-0000-00004E400000}"/>
    <cellStyle name="Normal 2 2 8 2" xfId="16463" xr:uid="{00000000-0005-0000-0000-00004F400000}"/>
    <cellStyle name="Normal 2 2 9" xfId="16464" xr:uid="{00000000-0005-0000-0000-000050400000}"/>
    <cellStyle name="Normal 2 3" xfId="16465" xr:uid="{00000000-0005-0000-0000-000051400000}"/>
    <cellStyle name="Normal 2 3 2" xfId="16466" xr:uid="{00000000-0005-0000-0000-000052400000}"/>
    <cellStyle name="Normal 2 3 2 2" xfId="16467" xr:uid="{00000000-0005-0000-0000-000053400000}"/>
    <cellStyle name="Normal 2 3 2 2 2" xfId="16468" xr:uid="{00000000-0005-0000-0000-000054400000}"/>
    <cellStyle name="Normal 2 3 2 3" xfId="16469" xr:uid="{00000000-0005-0000-0000-000055400000}"/>
    <cellStyle name="Normal 2 3 2 3 2" xfId="16470" xr:uid="{00000000-0005-0000-0000-000056400000}"/>
    <cellStyle name="Normal 2 3 2 3 2 2" xfId="16471" xr:uid="{00000000-0005-0000-0000-000057400000}"/>
    <cellStyle name="Normal 2 3 2 3 3" xfId="16472" xr:uid="{00000000-0005-0000-0000-000058400000}"/>
    <cellStyle name="Normal 2 3 2 4" xfId="16473" xr:uid="{00000000-0005-0000-0000-000059400000}"/>
    <cellStyle name="Normal 2 3 2 4 2" xfId="16474" xr:uid="{00000000-0005-0000-0000-00005A400000}"/>
    <cellStyle name="Normal 2 3 2 4 2 2" xfId="16475" xr:uid="{00000000-0005-0000-0000-00005B400000}"/>
    <cellStyle name="Normal 2 3 2 4 3" xfId="16476" xr:uid="{00000000-0005-0000-0000-00005C400000}"/>
    <cellStyle name="Normal 2 3 2 5" xfId="16477" xr:uid="{00000000-0005-0000-0000-00005D400000}"/>
    <cellStyle name="Normal 2 3 2 6" xfId="16478" xr:uid="{00000000-0005-0000-0000-00005E400000}"/>
    <cellStyle name="Normal 2 3 3" xfId="16479" xr:uid="{00000000-0005-0000-0000-00005F400000}"/>
    <cellStyle name="Normal 2 3 3 2" xfId="16480" xr:uid="{00000000-0005-0000-0000-000060400000}"/>
    <cellStyle name="Normal 2 3 3 2 2" xfId="16481" xr:uid="{00000000-0005-0000-0000-000061400000}"/>
    <cellStyle name="Normal 2 3 3 2 2 2" xfId="16482" xr:uid="{00000000-0005-0000-0000-000062400000}"/>
    <cellStyle name="Normal 2 3 3 2 3" xfId="16483" xr:uid="{00000000-0005-0000-0000-000063400000}"/>
    <cellStyle name="Normal 2 3 3 2 3 2" xfId="16484" xr:uid="{00000000-0005-0000-0000-000064400000}"/>
    <cellStyle name="Normal 2 3 3 2 3 2 2" xfId="16485" xr:uid="{00000000-0005-0000-0000-000065400000}"/>
    <cellStyle name="Normal 2 3 3 2 3 3" xfId="16486" xr:uid="{00000000-0005-0000-0000-000066400000}"/>
    <cellStyle name="Normal 2 3 3 2 4" xfId="16487" xr:uid="{00000000-0005-0000-0000-000067400000}"/>
    <cellStyle name="Normal 2 3 3 3" xfId="16488" xr:uid="{00000000-0005-0000-0000-000068400000}"/>
    <cellStyle name="Normal 2 3 3 3 2" xfId="16489" xr:uid="{00000000-0005-0000-0000-000069400000}"/>
    <cellStyle name="Normal 2 3 3 3 2 2" xfId="16490" xr:uid="{00000000-0005-0000-0000-00006A400000}"/>
    <cellStyle name="Normal 2 3 3 3 3" xfId="16491" xr:uid="{00000000-0005-0000-0000-00006B400000}"/>
    <cellStyle name="Normal 2 3 3 4" xfId="16492" xr:uid="{00000000-0005-0000-0000-00006C400000}"/>
    <cellStyle name="Normal 2 3 3 4 2" xfId="16493" xr:uid="{00000000-0005-0000-0000-00006D400000}"/>
    <cellStyle name="Normal 2 3 3 4 2 2" xfId="16494" xr:uid="{00000000-0005-0000-0000-00006E400000}"/>
    <cellStyle name="Normal 2 3 3 4 3" xfId="16495" xr:uid="{00000000-0005-0000-0000-00006F400000}"/>
    <cellStyle name="Normal 2 3 3 5" xfId="16496" xr:uid="{00000000-0005-0000-0000-000070400000}"/>
    <cellStyle name="Normal 2 3 3 5 2" xfId="16497" xr:uid="{00000000-0005-0000-0000-000071400000}"/>
    <cellStyle name="Normal 2 3 3 5 2 2" xfId="16498" xr:uid="{00000000-0005-0000-0000-000072400000}"/>
    <cellStyle name="Normal 2 3 3 5 3" xfId="16499" xr:uid="{00000000-0005-0000-0000-000073400000}"/>
    <cellStyle name="Normal 2 3 3 6" xfId="16500" xr:uid="{00000000-0005-0000-0000-000074400000}"/>
    <cellStyle name="Normal 2 3 4" xfId="16501" xr:uid="{00000000-0005-0000-0000-000075400000}"/>
    <cellStyle name="Normal 2 3 4 2" xfId="16502" xr:uid="{00000000-0005-0000-0000-000076400000}"/>
    <cellStyle name="Normal 2 3 4 2 2" xfId="16503" xr:uid="{00000000-0005-0000-0000-000077400000}"/>
    <cellStyle name="Normal 2 3 4 3" xfId="16504" xr:uid="{00000000-0005-0000-0000-000078400000}"/>
    <cellStyle name="Normal 2 3 5" xfId="16505" xr:uid="{00000000-0005-0000-0000-000079400000}"/>
    <cellStyle name="Normal 2 3 5 2" xfId="16506" xr:uid="{00000000-0005-0000-0000-00007A400000}"/>
    <cellStyle name="Normal 2 3 5 2 2" xfId="16507" xr:uid="{00000000-0005-0000-0000-00007B400000}"/>
    <cellStyle name="Normal 2 3 5 3" xfId="16508" xr:uid="{00000000-0005-0000-0000-00007C400000}"/>
    <cellStyle name="Normal 2 3 6" xfId="16509" xr:uid="{00000000-0005-0000-0000-00007D400000}"/>
    <cellStyle name="Normal 2 3 6 2" xfId="16510" xr:uid="{00000000-0005-0000-0000-00007E400000}"/>
    <cellStyle name="Normal 2 3 6 2 2" xfId="16511" xr:uid="{00000000-0005-0000-0000-00007F400000}"/>
    <cellStyle name="Normal 2 3 6 3" xfId="16512" xr:uid="{00000000-0005-0000-0000-000080400000}"/>
    <cellStyle name="Normal 2 3 7" xfId="16513" xr:uid="{00000000-0005-0000-0000-000081400000}"/>
    <cellStyle name="Normal 2 3 7 2" xfId="16514" xr:uid="{00000000-0005-0000-0000-000082400000}"/>
    <cellStyle name="Normal 2 3 8" xfId="16515" xr:uid="{00000000-0005-0000-0000-000083400000}"/>
    <cellStyle name="Normal 2 4" xfId="16516" xr:uid="{00000000-0005-0000-0000-000084400000}"/>
    <cellStyle name="Normal 2 4 2" xfId="16517" xr:uid="{00000000-0005-0000-0000-000085400000}"/>
    <cellStyle name="Normal 2 4 2 2" xfId="16518" xr:uid="{00000000-0005-0000-0000-000086400000}"/>
    <cellStyle name="Normal 2 4 2 2 2" xfId="16519" xr:uid="{00000000-0005-0000-0000-000087400000}"/>
    <cellStyle name="Normal 2 4 2 3" xfId="16520" xr:uid="{00000000-0005-0000-0000-000088400000}"/>
    <cellStyle name="Normal 2 4 2 3 2" xfId="16521" xr:uid="{00000000-0005-0000-0000-000089400000}"/>
    <cellStyle name="Normal 2 4 2 3 2 2" xfId="16522" xr:uid="{00000000-0005-0000-0000-00008A400000}"/>
    <cellStyle name="Normal 2 4 2 3 3" xfId="16523" xr:uid="{00000000-0005-0000-0000-00008B400000}"/>
    <cellStyle name="Normal 2 4 2 4" xfId="16524" xr:uid="{00000000-0005-0000-0000-00008C400000}"/>
    <cellStyle name="Normal 2 4 2 4 2" xfId="16525" xr:uid="{00000000-0005-0000-0000-00008D400000}"/>
    <cellStyle name="Normal 2 4 2 4 2 2" xfId="16526" xr:uid="{00000000-0005-0000-0000-00008E400000}"/>
    <cellStyle name="Normal 2 4 2 4 3" xfId="16527" xr:uid="{00000000-0005-0000-0000-00008F400000}"/>
    <cellStyle name="Normal 2 4 2 5" xfId="16528" xr:uid="{00000000-0005-0000-0000-000090400000}"/>
    <cellStyle name="Normal 2 4 2 6" xfId="16529" xr:uid="{00000000-0005-0000-0000-000091400000}"/>
    <cellStyle name="Normal 2 4 3" xfId="16530" xr:uid="{00000000-0005-0000-0000-000092400000}"/>
    <cellStyle name="Normal 2 4 3 2" xfId="16531" xr:uid="{00000000-0005-0000-0000-000093400000}"/>
    <cellStyle name="Normal 2 4 3 2 2" xfId="16532" xr:uid="{00000000-0005-0000-0000-000094400000}"/>
    <cellStyle name="Normal 2 4 3 2 2 2" xfId="16533" xr:uid="{00000000-0005-0000-0000-000095400000}"/>
    <cellStyle name="Normal 2 4 3 2 3" xfId="16534" xr:uid="{00000000-0005-0000-0000-000096400000}"/>
    <cellStyle name="Normal 2 4 3 2 3 2" xfId="16535" xr:uid="{00000000-0005-0000-0000-000097400000}"/>
    <cellStyle name="Normal 2 4 3 2 3 2 2" xfId="16536" xr:uid="{00000000-0005-0000-0000-000098400000}"/>
    <cellStyle name="Normal 2 4 3 2 3 3" xfId="16537" xr:uid="{00000000-0005-0000-0000-000099400000}"/>
    <cellStyle name="Normal 2 4 3 2 4" xfId="16538" xr:uid="{00000000-0005-0000-0000-00009A400000}"/>
    <cellStyle name="Normal 2 4 3 3" xfId="16539" xr:uid="{00000000-0005-0000-0000-00009B400000}"/>
    <cellStyle name="Normal 2 4 4" xfId="16540" xr:uid="{00000000-0005-0000-0000-00009C400000}"/>
    <cellStyle name="Normal 2 4 4 2" xfId="16541" xr:uid="{00000000-0005-0000-0000-00009D400000}"/>
    <cellStyle name="Normal 2 4 4 2 2" xfId="16542" xr:uid="{00000000-0005-0000-0000-00009E400000}"/>
    <cellStyle name="Normal 2 4 4 3" xfId="16543" xr:uid="{00000000-0005-0000-0000-00009F400000}"/>
    <cellStyle name="Normal 2 4 5" xfId="16544" xr:uid="{00000000-0005-0000-0000-0000A0400000}"/>
    <cellStyle name="Normal 2 4 5 2" xfId="16545" xr:uid="{00000000-0005-0000-0000-0000A1400000}"/>
    <cellStyle name="Normal 2 4 5 2 2" xfId="16546" xr:uid="{00000000-0005-0000-0000-0000A2400000}"/>
    <cellStyle name="Normal 2 4 5 3" xfId="16547" xr:uid="{00000000-0005-0000-0000-0000A3400000}"/>
    <cellStyle name="Normal 2 4 6" xfId="16548" xr:uid="{00000000-0005-0000-0000-0000A4400000}"/>
    <cellStyle name="Normal 2 4 7" xfId="16549" xr:uid="{00000000-0005-0000-0000-0000A5400000}"/>
    <cellStyle name="Normal 2 5" xfId="16550" xr:uid="{00000000-0005-0000-0000-0000A6400000}"/>
    <cellStyle name="Normal 2 5 2" xfId="16551" xr:uid="{00000000-0005-0000-0000-0000A7400000}"/>
    <cellStyle name="Normal 2 5 2 2" xfId="16552" xr:uid="{00000000-0005-0000-0000-0000A8400000}"/>
    <cellStyle name="Normal 2 5 2 2 2" xfId="16553" xr:uid="{00000000-0005-0000-0000-0000A9400000}"/>
    <cellStyle name="Normal 2 5 2 3" xfId="16554" xr:uid="{00000000-0005-0000-0000-0000AA400000}"/>
    <cellStyle name="Normal 2 5 2 3 2" xfId="16555" xr:uid="{00000000-0005-0000-0000-0000AB400000}"/>
    <cellStyle name="Normal 2 5 2 3 2 2" xfId="16556" xr:uid="{00000000-0005-0000-0000-0000AC400000}"/>
    <cellStyle name="Normal 2 5 2 3 3" xfId="16557" xr:uid="{00000000-0005-0000-0000-0000AD400000}"/>
    <cellStyle name="Normal 2 5 2 4" xfId="16558" xr:uid="{00000000-0005-0000-0000-0000AE400000}"/>
    <cellStyle name="Normal 2 5 2 4 2" xfId="16559" xr:uid="{00000000-0005-0000-0000-0000AF400000}"/>
    <cellStyle name="Normal 2 5 2 4 2 2" xfId="16560" xr:uid="{00000000-0005-0000-0000-0000B0400000}"/>
    <cellStyle name="Normal 2 5 2 4 3" xfId="16561" xr:uid="{00000000-0005-0000-0000-0000B1400000}"/>
    <cellStyle name="Normal 2 5 2 5" xfId="16562" xr:uid="{00000000-0005-0000-0000-0000B2400000}"/>
    <cellStyle name="Normal 2 5 3" xfId="16563" xr:uid="{00000000-0005-0000-0000-0000B3400000}"/>
    <cellStyle name="Normal 2 5 3 2" xfId="16564" xr:uid="{00000000-0005-0000-0000-0000B4400000}"/>
    <cellStyle name="Normal 2 5 3 2 2" xfId="16565" xr:uid="{00000000-0005-0000-0000-0000B5400000}"/>
    <cellStyle name="Normal 2 5 3 2 2 2" xfId="16566" xr:uid="{00000000-0005-0000-0000-0000B6400000}"/>
    <cellStyle name="Normal 2 5 3 2 3" xfId="16567" xr:uid="{00000000-0005-0000-0000-0000B7400000}"/>
    <cellStyle name="Normal 2 5 3 2 3 2" xfId="16568" xr:uid="{00000000-0005-0000-0000-0000B8400000}"/>
    <cellStyle name="Normal 2 5 3 2 3 2 2" xfId="16569" xr:uid="{00000000-0005-0000-0000-0000B9400000}"/>
    <cellStyle name="Normal 2 5 3 2 3 3" xfId="16570" xr:uid="{00000000-0005-0000-0000-0000BA400000}"/>
    <cellStyle name="Normal 2 5 3 2 4" xfId="16571" xr:uid="{00000000-0005-0000-0000-0000BB400000}"/>
    <cellStyle name="Normal 2 5 3 3" xfId="16572" xr:uid="{00000000-0005-0000-0000-0000BC400000}"/>
    <cellStyle name="Normal 2 5 4" xfId="16573" xr:uid="{00000000-0005-0000-0000-0000BD400000}"/>
    <cellStyle name="Normal 2 5 4 2" xfId="16574" xr:uid="{00000000-0005-0000-0000-0000BE400000}"/>
    <cellStyle name="Normal 2 5 4 2 2" xfId="16575" xr:uid="{00000000-0005-0000-0000-0000BF400000}"/>
    <cellStyle name="Normal 2 5 4 3" xfId="16576" xr:uid="{00000000-0005-0000-0000-0000C0400000}"/>
    <cellStyle name="Normal 2 5 5" xfId="16577" xr:uid="{00000000-0005-0000-0000-0000C1400000}"/>
    <cellStyle name="Normal 2 5 5 2" xfId="16578" xr:uid="{00000000-0005-0000-0000-0000C2400000}"/>
    <cellStyle name="Normal 2 5 5 2 2" xfId="16579" xr:uid="{00000000-0005-0000-0000-0000C3400000}"/>
    <cellStyle name="Normal 2 5 5 3" xfId="16580" xr:uid="{00000000-0005-0000-0000-0000C4400000}"/>
    <cellStyle name="Normal 2 5 6" xfId="16581" xr:uid="{00000000-0005-0000-0000-0000C5400000}"/>
    <cellStyle name="Normal 2 5 7" xfId="16582" xr:uid="{00000000-0005-0000-0000-0000C6400000}"/>
    <cellStyle name="Normal 2 6" xfId="16583" xr:uid="{00000000-0005-0000-0000-0000C7400000}"/>
    <cellStyle name="Normal 2 6 10" xfId="16584" xr:uid="{00000000-0005-0000-0000-0000C8400000}"/>
    <cellStyle name="Normal 2 6 10 2" xfId="16585" xr:uid="{00000000-0005-0000-0000-0000C9400000}"/>
    <cellStyle name="Normal 2 6 10 3" xfId="16586" xr:uid="{00000000-0005-0000-0000-0000CA400000}"/>
    <cellStyle name="Normal 2 6 10 4" xfId="16587" xr:uid="{00000000-0005-0000-0000-0000CB400000}"/>
    <cellStyle name="Normal 2 6 10 5" xfId="16588" xr:uid="{00000000-0005-0000-0000-0000CC400000}"/>
    <cellStyle name="Normal 2 6 11" xfId="16589" xr:uid="{00000000-0005-0000-0000-0000CD400000}"/>
    <cellStyle name="Normal 2 6 12" xfId="16590" xr:uid="{00000000-0005-0000-0000-0000CE400000}"/>
    <cellStyle name="Normal 2 6 13" xfId="16591" xr:uid="{00000000-0005-0000-0000-0000CF400000}"/>
    <cellStyle name="Normal 2 6 14" xfId="16592" xr:uid="{00000000-0005-0000-0000-0000D0400000}"/>
    <cellStyle name="Normal 2 6 15" xfId="16593" xr:uid="{00000000-0005-0000-0000-0000D1400000}"/>
    <cellStyle name="Normal 2 6 16" xfId="16594" xr:uid="{00000000-0005-0000-0000-0000D2400000}"/>
    <cellStyle name="Normal 2 6 17" xfId="16595" xr:uid="{00000000-0005-0000-0000-0000D3400000}"/>
    <cellStyle name="Normal 2 6 2" xfId="16596" xr:uid="{00000000-0005-0000-0000-0000D4400000}"/>
    <cellStyle name="Normal 2 6 2 10" xfId="16597" xr:uid="{00000000-0005-0000-0000-0000D5400000}"/>
    <cellStyle name="Normal 2 6 2 11" xfId="16598" xr:uid="{00000000-0005-0000-0000-0000D6400000}"/>
    <cellStyle name="Normal 2 6 2 12" xfId="16599" xr:uid="{00000000-0005-0000-0000-0000D7400000}"/>
    <cellStyle name="Normal 2 6 2 13" xfId="16600" xr:uid="{00000000-0005-0000-0000-0000D8400000}"/>
    <cellStyle name="Normal 2 6 2 14" xfId="16601" xr:uid="{00000000-0005-0000-0000-0000D9400000}"/>
    <cellStyle name="Normal 2 6 2 15" xfId="16602" xr:uid="{00000000-0005-0000-0000-0000DA400000}"/>
    <cellStyle name="Normal 2 6 2 2" xfId="16603" xr:uid="{00000000-0005-0000-0000-0000DB400000}"/>
    <cellStyle name="Normal 2 6 2 2 10" xfId="16604" xr:uid="{00000000-0005-0000-0000-0000DC400000}"/>
    <cellStyle name="Normal 2 6 2 2 11" xfId="16605" xr:uid="{00000000-0005-0000-0000-0000DD400000}"/>
    <cellStyle name="Normal 2 6 2 2 2" xfId="16606" xr:uid="{00000000-0005-0000-0000-0000DE400000}"/>
    <cellStyle name="Normal 2 6 2 2 2 2" xfId="16607" xr:uid="{00000000-0005-0000-0000-0000DF400000}"/>
    <cellStyle name="Normal 2 6 2 2 2 2 2" xfId="16608" xr:uid="{00000000-0005-0000-0000-0000E0400000}"/>
    <cellStyle name="Normal 2 6 2 2 2 2 3" xfId="16609" xr:uid="{00000000-0005-0000-0000-0000E1400000}"/>
    <cellStyle name="Normal 2 6 2 2 2 2 4" xfId="16610" xr:uid="{00000000-0005-0000-0000-0000E2400000}"/>
    <cellStyle name="Normal 2 6 2 2 2 2 5" xfId="16611" xr:uid="{00000000-0005-0000-0000-0000E3400000}"/>
    <cellStyle name="Normal 2 6 2 2 2 3" xfId="16612" xr:uid="{00000000-0005-0000-0000-0000E4400000}"/>
    <cellStyle name="Normal 2 6 2 2 2 3 2" xfId="16613" xr:uid="{00000000-0005-0000-0000-0000E5400000}"/>
    <cellStyle name="Normal 2 6 2 2 2 3 3" xfId="16614" xr:uid="{00000000-0005-0000-0000-0000E6400000}"/>
    <cellStyle name="Normal 2 6 2 2 2 3 4" xfId="16615" xr:uid="{00000000-0005-0000-0000-0000E7400000}"/>
    <cellStyle name="Normal 2 6 2 2 2 3 5" xfId="16616" xr:uid="{00000000-0005-0000-0000-0000E8400000}"/>
    <cellStyle name="Normal 2 6 2 2 2 4" xfId="16617" xr:uid="{00000000-0005-0000-0000-0000E9400000}"/>
    <cellStyle name="Normal 2 6 2 2 2 5" xfId="16618" xr:uid="{00000000-0005-0000-0000-0000EA400000}"/>
    <cellStyle name="Normal 2 6 2 2 2 6" xfId="16619" xr:uid="{00000000-0005-0000-0000-0000EB400000}"/>
    <cellStyle name="Normal 2 6 2 2 2 7" xfId="16620" xr:uid="{00000000-0005-0000-0000-0000EC400000}"/>
    <cellStyle name="Normal 2 6 2 2 2 8" xfId="16621" xr:uid="{00000000-0005-0000-0000-0000ED400000}"/>
    <cellStyle name="Normal 2 6 2 2 2 9" xfId="16622" xr:uid="{00000000-0005-0000-0000-0000EE400000}"/>
    <cellStyle name="Normal 2 6 2 2 3" xfId="16623" xr:uid="{00000000-0005-0000-0000-0000EF400000}"/>
    <cellStyle name="Normal 2 6 2 2 3 2" xfId="16624" xr:uid="{00000000-0005-0000-0000-0000F0400000}"/>
    <cellStyle name="Normal 2 6 2 2 3 3" xfId="16625" xr:uid="{00000000-0005-0000-0000-0000F1400000}"/>
    <cellStyle name="Normal 2 6 2 2 3 4" xfId="16626" xr:uid="{00000000-0005-0000-0000-0000F2400000}"/>
    <cellStyle name="Normal 2 6 2 2 3 5" xfId="16627" xr:uid="{00000000-0005-0000-0000-0000F3400000}"/>
    <cellStyle name="Normal 2 6 2 2 4" xfId="16628" xr:uid="{00000000-0005-0000-0000-0000F4400000}"/>
    <cellStyle name="Normal 2 6 2 2 4 2" xfId="16629" xr:uid="{00000000-0005-0000-0000-0000F5400000}"/>
    <cellStyle name="Normal 2 6 2 2 4 3" xfId="16630" xr:uid="{00000000-0005-0000-0000-0000F6400000}"/>
    <cellStyle name="Normal 2 6 2 2 4 4" xfId="16631" xr:uid="{00000000-0005-0000-0000-0000F7400000}"/>
    <cellStyle name="Normal 2 6 2 2 4 5" xfId="16632" xr:uid="{00000000-0005-0000-0000-0000F8400000}"/>
    <cellStyle name="Normal 2 6 2 2 5" xfId="16633" xr:uid="{00000000-0005-0000-0000-0000F9400000}"/>
    <cellStyle name="Normal 2 6 2 2 6" xfId="16634" xr:uid="{00000000-0005-0000-0000-0000FA400000}"/>
    <cellStyle name="Normal 2 6 2 2 7" xfId="16635" xr:uid="{00000000-0005-0000-0000-0000FB400000}"/>
    <cellStyle name="Normal 2 6 2 2 8" xfId="16636" xr:uid="{00000000-0005-0000-0000-0000FC400000}"/>
    <cellStyle name="Normal 2 6 2 2 9" xfId="16637" xr:uid="{00000000-0005-0000-0000-0000FD400000}"/>
    <cellStyle name="Normal 2 6 2 3" xfId="16638" xr:uid="{00000000-0005-0000-0000-0000FE400000}"/>
    <cellStyle name="Normal 2 6 2 3 10" xfId="16639" xr:uid="{00000000-0005-0000-0000-0000FF400000}"/>
    <cellStyle name="Normal 2 6 2 3 11" xfId="16640" xr:uid="{00000000-0005-0000-0000-000000410000}"/>
    <cellStyle name="Normal 2 6 2 3 2" xfId="16641" xr:uid="{00000000-0005-0000-0000-000001410000}"/>
    <cellStyle name="Normal 2 6 2 3 2 2" xfId="16642" xr:uid="{00000000-0005-0000-0000-000002410000}"/>
    <cellStyle name="Normal 2 6 2 3 2 2 2" xfId="16643" xr:uid="{00000000-0005-0000-0000-000003410000}"/>
    <cellStyle name="Normal 2 6 2 3 2 2 3" xfId="16644" xr:uid="{00000000-0005-0000-0000-000004410000}"/>
    <cellStyle name="Normal 2 6 2 3 2 2 4" xfId="16645" xr:uid="{00000000-0005-0000-0000-000005410000}"/>
    <cellStyle name="Normal 2 6 2 3 2 2 5" xfId="16646" xr:uid="{00000000-0005-0000-0000-000006410000}"/>
    <cellStyle name="Normal 2 6 2 3 2 3" xfId="16647" xr:uid="{00000000-0005-0000-0000-000007410000}"/>
    <cellStyle name="Normal 2 6 2 3 2 3 2" xfId="16648" xr:uid="{00000000-0005-0000-0000-000008410000}"/>
    <cellStyle name="Normal 2 6 2 3 2 3 3" xfId="16649" xr:uid="{00000000-0005-0000-0000-000009410000}"/>
    <cellStyle name="Normal 2 6 2 3 2 3 4" xfId="16650" xr:uid="{00000000-0005-0000-0000-00000A410000}"/>
    <cellStyle name="Normal 2 6 2 3 2 3 5" xfId="16651" xr:uid="{00000000-0005-0000-0000-00000B410000}"/>
    <cellStyle name="Normal 2 6 2 3 2 4" xfId="16652" xr:uid="{00000000-0005-0000-0000-00000C410000}"/>
    <cellStyle name="Normal 2 6 2 3 2 5" xfId="16653" xr:uid="{00000000-0005-0000-0000-00000D410000}"/>
    <cellStyle name="Normal 2 6 2 3 2 6" xfId="16654" xr:uid="{00000000-0005-0000-0000-00000E410000}"/>
    <cellStyle name="Normal 2 6 2 3 2 7" xfId="16655" xr:uid="{00000000-0005-0000-0000-00000F410000}"/>
    <cellStyle name="Normal 2 6 2 3 2 8" xfId="16656" xr:uid="{00000000-0005-0000-0000-000010410000}"/>
    <cellStyle name="Normal 2 6 2 3 2 9" xfId="16657" xr:uid="{00000000-0005-0000-0000-000011410000}"/>
    <cellStyle name="Normal 2 6 2 3 3" xfId="16658" xr:uid="{00000000-0005-0000-0000-000012410000}"/>
    <cellStyle name="Normal 2 6 2 3 3 2" xfId="16659" xr:uid="{00000000-0005-0000-0000-000013410000}"/>
    <cellStyle name="Normal 2 6 2 3 3 3" xfId="16660" xr:uid="{00000000-0005-0000-0000-000014410000}"/>
    <cellStyle name="Normal 2 6 2 3 3 4" xfId="16661" xr:uid="{00000000-0005-0000-0000-000015410000}"/>
    <cellStyle name="Normal 2 6 2 3 3 5" xfId="16662" xr:uid="{00000000-0005-0000-0000-000016410000}"/>
    <cellStyle name="Normal 2 6 2 3 4" xfId="16663" xr:uid="{00000000-0005-0000-0000-000017410000}"/>
    <cellStyle name="Normal 2 6 2 3 4 2" xfId="16664" xr:uid="{00000000-0005-0000-0000-000018410000}"/>
    <cellStyle name="Normal 2 6 2 3 4 3" xfId="16665" xr:uid="{00000000-0005-0000-0000-000019410000}"/>
    <cellStyle name="Normal 2 6 2 3 4 4" xfId="16666" xr:uid="{00000000-0005-0000-0000-00001A410000}"/>
    <cellStyle name="Normal 2 6 2 3 4 5" xfId="16667" xr:uid="{00000000-0005-0000-0000-00001B410000}"/>
    <cellStyle name="Normal 2 6 2 3 5" xfId="16668" xr:uid="{00000000-0005-0000-0000-00001C410000}"/>
    <cellStyle name="Normal 2 6 2 3 6" xfId="16669" xr:uid="{00000000-0005-0000-0000-00001D410000}"/>
    <cellStyle name="Normal 2 6 2 3 7" xfId="16670" xr:uid="{00000000-0005-0000-0000-00001E410000}"/>
    <cellStyle name="Normal 2 6 2 3 8" xfId="16671" xr:uid="{00000000-0005-0000-0000-00001F410000}"/>
    <cellStyle name="Normal 2 6 2 3 9" xfId="16672" xr:uid="{00000000-0005-0000-0000-000020410000}"/>
    <cellStyle name="Normal 2 6 2 4" xfId="16673" xr:uid="{00000000-0005-0000-0000-000021410000}"/>
    <cellStyle name="Normal 2 6 2 4 10" xfId="16674" xr:uid="{00000000-0005-0000-0000-000022410000}"/>
    <cellStyle name="Normal 2 6 2 4 11" xfId="16675" xr:uid="{00000000-0005-0000-0000-000023410000}"/>
    <cellStyle name="Normal 2 6 2 4 2" xfId="16676" xr:uid="{00000000-0005-0000-0000-000024410000}"/>
    <cellStyle name="Normal 2 6 2 4 2 2" xfId="16677" xr:uid="{00000000-0005-0000-0000-000025410000}"/>
    <cellStyle name="Normal 2 6 2 4 2 2 2" xfId="16678" xr:uid="{00000000-0005-0000-0000-000026410000}"/>
    <cellStyle name="Normal 2 6 2 4 2 2 3" xfId="16679" xr:uid="{00000000-0005-0000-0000-000027410000}"/>
    <cellStyle name="Normal 2 6 2 4 2 2 4" xfId="16680" xr:uid="{00000000-0005-0000-0000-000028410000}"/>
    <cellStyle name="Normal 2 6 2 4 2 2 5" xfId="16681" xr:uid="{00000000-0005-0000-0000-000029410000}"/>
    <cellStyle name="Normal 2 6 2 4 2 3" xfId="16682" xr:uid="{00000000-0005-0000-0000-00002A410000}"/>
    <cellStyle name="Normal 2 6 2 4 2 3 2" xfId="16683" xr:uid="{00000000-0005-0000-0000-00002B410000}"/>
    <cellStyle name="Normal 2 6 2 4 2 3 3" xfId="16684" xr:uid="{00000000-0005-0000-0000-00002C410000}"/>
    <cellStyle name="Normal 2 6 2 4 2 3 4" xfId="16685" xr:uid="{00000000-0005-0000-0000-00002D410000}"/>
    <cellStyle name="Normal 2 6 2 4 2 3 5" xfId="16686" xr:uid="{00000000-0005-0000-0000-00002E410000}"/>
    <cellStyle name="Normal 2 6 2 4 2 4" xfId="16687" xr:uid="{00000000-0005-0000-0000-00002F410000}"/>
    <cellStyle name="Normal 2 6 2 4 2 5" xfId="16688" xr:uid="{00000000-0005-0000-0000-000030410000}"/>
    <cellStyle name="Normal 2 6 2 4 2 6" xfId="16689" xr:uid="{00000000-0005-0000-0000-000031410000}"/>
    <cellStyle name="Normal 2 6 2 4 2 7" xfId="16690" xr:uid="{00000000-0005-0000-0000-000032410000}"/>
    <cellStyle name="Normal 2 6 2 4 2 8" xfId="16691" xr:uid="{00000000-0005-0000-0000-000033410000}"/>
    <cellStyle name="Normal 2 6 2 4 2 9" xfId="16692" xr:uid="{00000000-0005-0000-0000-000034410000}"/>
    <cellStyle name="Normal 2 6 2 4 3" xfId="16693" xr:uid="{00000000-0005-0000-0000-000035410000}"/>
    <cellStyle name="Normal 2 6 2 4 3 2" xfId="16694" xr:uid="{00000000-0005-0000-0000-000036410000}"/>
    <cellStyle name="Normal 2 6 2 4 3 3" xfId="16695" xr:uid="{00000000-0005-0000-0000-000037410000}"/>
    <cellStyle name="Normal 2 6 2 4 3 4" xfId="16696" xr:uid="{00000000-0005-0000-0000-000038410000}"/>
    <cellStyle name="Normal 2 6 2 4 3 5" xfId="16697" xr:uid="{00000000-0005-0000-0000-000039410000}"/>
    <cellStyle name="Normal 2 6 2 4 4" xfId="16698" xr:uid="{00000000-0005-0000-0000-00003A410000}"/>
    <cellStyle name="Normal 2 6 2 4 4 2" xfId="16699" xr:uid="{00000000-0005-0000-0000-00003B410000}"/>
    <cellStyle name="Normal 2 6 2 4 4 3" xfId="16700" xr:uid="{00000000-0005-0000-0000-00003C410000}"/>
    <cellStyle name="Normal 2 6 2 4 4 4" xfId="16701" xr:uid="{00000000-0005-0000-0000-00003D410000}"/>
    <cellStyle name="Normal 2 6 2 4 4 5" xfId="16702" xr:uid="{00000000-0005-0000-0000-00003E410000}"/>
    <cellStyle name="Normal 2 6 2 4 5" xfId="16703" xr:uid="{00000000-0005-0000-0000-00003F410000}"/>
    <cellStyle name="Normal 2 6 2 4 6" xfId="16704" xr:uid="{00000000-0005-0000-0000-000040410000}"/>
    <cellStyle name="Normal 2 6 2 4 7" xfId="16705" xr:uid="{00000000-0005-0000-0000-000041410000}"/>
    <cellStyle name="Normal 2 6 2 4 8" xfId="16706" xr:uid="{00000000-0005-0000-0000-000042410000}"/>
    <cellStyle name="Normal 2 6 2 4 9" xfId="16707" xr:uid="{00000000-0005-0000-0000-000043410000}"/>
    <cellStyle name="Normal 2 6 2 5" xfId="16708" xr:uid="{00000000-0005-0000-0000-000044410000}"/>
    <cellStyle name="Normal 2 6 2 5 2" xfId="16709" xr:uid="{00000000-0005-0000-0000-000045410000}"/>
    <cellStyle name="Normal 2 6 2 5 2 2" xfId="16710" xr:uid="{00000000-0005-0000-0000-000046410000}"/>
    <cellStyle name="Normal 2 6 2 5 2 3" xfId="16711" xr:uid="{00000000-0005-0000-0000-000047410000}"/>
    <cellStyle name="Normal 2 6 2 5 2 4" xfId="16712" xr:uid="{00000000-0005-0000-0000-000048410000}"/>
    <cellStyle name="Normal 2 6 2 5 2 5" xfId="16713" xr:uid="{00000000-0005-0000-0000-000049410000}"/>
    <cellStyle name="Normal 2 6 2 5 3" xfId="16714" xr:uid="{00000000-0005-0000-0000-00004A410000}"/>
    <cellStyle name="Normal 2 6 2 5 3 2" xfId="16715" xr:uid="{00000000-0005-0000-0000-00004B410000}"/>
    <cellStyle name="Normal 2 6 2 5 3 3" xfId="16716" xr:uid="{00000000-0005-0000-0000-00004C410000}"/>
    <cellStyle name="Normal 2 6 2 5 3 4" xfId="16717" xr:uid="{00000000-0005-0000-0000-00004D410000}"/>
    <cellStyle name="Normal 2 6 2 5 3 5" xfId="16718" xr:uid="{00000000-0005-0000-0000-00004E410000}"/>
    <cellStyle name="Normal 2 6 2 5 4" xfId="16719" xr:uid="{00000000-0005-0000-0000-00004F410000}"/>
    <cellStyle name="Normal 2 6 2 5 5" xfId="16720" xr:uid="{00000000-0005-0000-0000-000050410000}"/>
    <cellStyle name="Normal 2 6 2 5 6" xfId="16721" xr:uid="{00000000-0005-0000-0000-000051410000}"/>
    <cellStyle name="Normal 2 6 2 5 7" xfId="16722" xr:uid="{00000000-0005-0000-0000-000052410000}"/>
    <cellStyle name="Normal 2 6 2 5 8" xfId="16723" xr:uid="{00000000-0005-0000-0000-000053410000}"/>
    <cellStyle name="Normal 2 6 2 5 9" xfId="16724" xr:uid="{00000000-0005-0000-0000-000054410000}"/>
    <cellStyle name="Normal 2 6 2 6" xfId="16725" xr:uid="{00000000-0005-0000-0000-000055410000}"/>
    <cellStyle name="Normal 2 6 2 6 2" xfId="16726" xr:uid="{00000000-0005-0000-0000-000056410000}"/>
    <cellStyle name="Normal 2 6 2 6 2 2" xfId="16727" xr:uid="{00000000-0005-0000-0000-000057410000}"/>
    <cellStyle name="Normal 2 6 2 6 2 3" xfId="16728" xr:uid="{00000000-0005-0000-0000-000058410000}"/>
    <cellStyle name="Normal 2 6 2 6 2 4" xfId="16729" xr:uid="{00000000-0005-0000-0000-000059410000}"/>
    <cellStyle name="Normal 2 6 2 6 2 5" xfId="16730" xr:uid="{00000000-0005-0000-0000-00005A410000}"/>
    <cellStyle name="Normal 2 6 2 6 3" xfId="16731" xr:uid="{00000000-0005-0000-0000-00005B410000}"/>
    <cellStyle name="Normal 2 6 2 6 3 2" xfId="16732" xr:uid="{00000000-0005-0000-0000-00005C410000}"/>
    <cellStyle name="Normal 2 6 2 6 3 3" xfId="16733" xr:uid="{00000000-0005-0000-0000-00005D410000}"/>
    <cellStyle name="Normal 2 6 2 6 3 4" xfId="16734" xr:uid="{00000000-0005-0000-0000-00005E410000}"/>
    <cellStyle name="Normal 2 6 2 6 3 5" xfId="16735" xr:uid="{00000000-0005-0000-0000-00005F410000}"/>
    <cellStyle name="Normal 2 6 2 6 4" xfId="16736" xr:uid="{00000000-0005-0000-0000-000060410000}"/>
    <cellStyle name="Normal 2 6 2 6 5" xfId="16737" xr:uid="{00000000-0005-0000-0000-000061410000}"/>
    <cellStyle name="Normal 2 6 2 6 6" xfId="16738" xr:uid="{00000000-0005-0000-0000-000062410000}"/>
    <cellStyle name="Normal 2 6 2 6 7" xfId="16739" xr:uid="{00000000-0005-0000-0000-000063410000}"/>
    <cellStyle name="Normal 2 6 2 6 8" xfId="16740" xr:uid="{00000000-0005-0000-0000-000064410000}"/>
    <cellStyle name="Normal 2 6 2 6 9" xfId="16741" xr:uid="{00000000-0005-0000-0000-000065410000}"/>
    <cellStyle name="Normal 2 6 2 7" xfId="16742" xr:uid="{00000000-0005-0000-0000-000066410000}"/>
    <cellStyle name="Normal 2 6 2 7 2" xfId="16743" xr:uid="{00000000-0005-0000-0000-000067410000}"/>
    <cellStyle name="Normal 2 6 2 7 3" xfId="16744" xr:uid="{00000000-0005-0000-0000-000068410000}"/>
    <cellStyle name="Normal 2 6 2 7 4" xfId="16745" xr:uid="{00000000-0005-0000-0000-000069410000}"/>
    <cellStyle name="Normal 2 6 2 7 5" xfId="16746" xr:uid="{00000000-0005-0000-0000-00006A410000}"/>
    <cellStyle name="Normal 2 6 2 8" xfId="16747" xr:uid="{00000000-0005-0000-0000-00006B410000}"/>
    <cellStyle name="Normal 2 6 2 8 2" xfId="16748" xr:uid="{00000000-0005-0000-0000-00006C410000}"/>
    <cellStyle name="Normal 2 6 2 8 3" xfId="16749" xr:uid="{00000000-0005-0000-0000-00006D410000}"/>
    <cellStyle name="Normal 2 6 2 8 4" xfId="16750" xr:uid="{00000000-0005-0000-0000-00006E410000}"/>
    <cellStyle name="Normal 2 6 2 8 5" xfId="16751" xr:uid="{00000000-0005-0000-0000-00006F410000}"/>
    <cellStyle name="Normal 2 6 2 9" xfId="16752" xr:uid="{00000000-0005-0000-0000-000070410000}"/>
    <cellStyle name="Normal 2 6 3" xfId="16753" xr:uid="{00000000-0005-0000-0000-000071410000}"/>
    <cellStyle name="Normal 2 6 3 10" xfId="16754" xr:uid="{00000000-0005-0000-0000-000072410000}"/>
    <cellStyle name="Normal 2 6 3 11" xfId="16755" xr:uid="{00000000-0005-0000-0000-000073410000}"/>
    <cellStyle name="Normal 2 6 3 2" xfId="16756" xr:uid="{00000000-0005-0000-0000-000074410000}"/>
    <cellStyle name="Normal 2 6 3 2 10" xfId="16757" xr:uid="{00000000-0005-0000-0000-000075410000}"/>
    <cellStyle name="Normal 2 6 3 2 2" xfId="16758" xr:uid="{00000000-0005-0000-0000-000076410000}"/>
    <cellStyle name="Normal 2 6 3 2 2 2" xfId="16759" xr:uid="{00000000-0005-0000-0000-000077410000}"/>
    <cellStyle name="Normal 2 6 3 2 2 3" xfId="16760" xr:uid="{00000000-0005-0000-0000-000078410000}"/>
    <cellStyle name="Normal 2 6 3 2 2 4" xfId="16761" xr:uid="{00000000-0005-0000-0000-000079410000}"/>
    <cellStyle name="Normal 2 6 3 2 2 5" xfId="16762" xr:uid="{00000000-0005-0000-0000-00007A410000}"/>
    <cellStyle name="Normal 2 6 3 2 2 6" xfId="16763" xr:uid="{00000000-0005-0000-0000-00007B410000}"/>
    <cellStyle name="Normal 2 6 3 2 3" xfId="16764" xr:uid="{00000000-0005-0000-0000-00007C410000}"/>
    <cellStyle name="Normal 2 6 3 2 3 2" xfId="16765" xr:uid="{00000000-0005-0000-0000-00007D410000}"/>
    <cellStyle name="Normal 2 6 3 2 3 3" xfId="16766" xr:uid="{00000000-0005-0000-0000-00007E410000}"/>
    <cellStyle name="Normal 2 6 3 2 3 4" xfId="16767" xr:uid="{00000000-0005-0000-0000-00007F410000}"/>
    <cellStyle name="Normal 2 6 3 2 3 5" xfId="16768" xr:uid="{00000000-0005-0000-0000-000080410000}"/>
    <cellStyle name="Normal 2 6 3 2 4" xfId="16769" xr:uid="{00000000-0005-0000-0000-000081410000}"/>
    <cellStyle name="Normal 2 6 3 2 5" xfId="16770" xr:uid="{00000000-0005-0000-0000-000082410000}"/>
    <cellStyle name="Normal 2 6 3 2 6" xfId="16771" xr:uid="{00000000-0005-0000-0000-000083410000}"/>
    <cellStyle name="Normal 2 6 3 2 7" xfId="16772" xr:uid="{00000000-0005-0000-0000-000084410000}"/>
    <cellStyle name="Normal 2 6 3 2 8" xfId="16773" xr:uid="{00000000-0005-0000-0000-000085410000}"/>
    <cellStyle name="Normal 2 6 3 2 9" xfId="16774" xr:uid="{00000000-0005-0000-0000-000086410000}"/>
    <cellStyle name="Normal 2 6 3 3" xfId="16775" xr:uid="{00000000-0005-0000-0000-000087410000}"/>
    <cellStyle name="Normal 2 6 3 3 2" xfId="16776" xr:uid="{00000000-0005-0000-0000-000088410000}"/>
    <cellStyle name="Normal 2 6 3 3 3" xfId="16777" xr:uid="{00000000-0005-0000-0000-000089410000}"/>
    <cellStyle name="Normal 2 6 3 3 4" xfId="16778" xr:uid="{00000000-0005-0000-0000-00008A410000}"/>
    <cellStyle name="Normal 2 6 3 3 5" xfId="16779" xr:uid="{00000000-0005-0000-0000-00008B410000}"/>
    <cellStyle name="Normal 2 6 3 3 6" xfId="16780" xr:uid="{00000000-0005-0000-0000-00008C410000}"/>
    <cellStyle name="Normal 2 6 3 4" xfId="16781" xr:uid="{00000000-0005-0000-0000-00008D410000}"/>
    <cellStyle name="Normal 2 6 3 4 2" xfId="16782" xr:uid="{00000000-0005-0000-0000-00008E410000}"/>
    <cellStyle name="Normal 2 6 3 4 3" xfId="16783" xr:uid="{00000000-0005-0000-0000-00008F410000}"/>
    <cellStyle name="Normal 2 6 3 4 4" xfId="16784" xr:uid="{00000000-0005-0000-0000-000090410000}"/>
    <cellStyle name="Normal 2 6 3 4 5" xfId="16785" xr:uid="{00000000-0005-0000-0000-000091410000}"/>
    <cellStyle name="Normal 2 6 3 5" xfId="16786" xr:uid="{00000000-0005-0000-0000-000092410000}"/>
    <cellStyle name="Normal 2 6 3 6" xfId="16787" xr:uid="{00000000-0005-0000-0000-000093410000}"/>
    <cellStyle name="Normal 2 6 3 7" xfId="16788" xr:uid="{00000000-0005-0000-0000-000094410000}"/>
    <cellStyle name="Normal 2 6 3 8" xfId="16789" xr:uid="{00000000-0005-0000-0000-000095410000}"/>
    <cellStyle name="Normal 2 6 3 9" xfId="16790" xr:uid="{00000000-0005-0000-0000-000096410000}"/>
    <cellStyle name="Normal 2 6 4" xfId="16791" xr:uid="{00000000-0005-0000-0000-000097410000}"/>
    <cellStyle name="Normal 2 6 4 10" xfId="16792" xr:uid="{00000000-0005-0000-0000-000098410000}"/>
    <cellStyle name="Normal 2 6 4 11" xfId="16793" xr:uid="{00000000-0005-0000-0000-000099410000}"/>
    <cellStyle name="Normal 2 6 4 2" xfId="16794" xr:uid="{00000000-0005-0000-0000-00009A410000}"/>
    <cellStyle name="Normal 2 6 4 2 10" xfId="16795" xr:uid="{00000000-0005-0000-0000-00009B410000}"/>
    <cellStyle name="Normal 2 6 4 2 2" xfId="16796" xr:uid="{00000000-0005-0000-0000-00009C410000}"/>
    <cellStyle name="Normal 2 6 4 2 2 2" xfId="16797" xr:uid="{00000000-0005-0000-0000-00009D410000}"/>
    <cellStyle name="Normal 2 6 4 2 2 3" xfId="16798" xr:uid="{00000000-0005-0000-0000-00009E410000}"/>
    <cellStyle name="Normal 2 6 4 2 2 4" xfId="16799" xr:uid="{00000000-0005-0000-0000-00009F410000}"/>
    <cellStyle name="Normal 2 6 4 2 2 5" xfId="16800" xr:uid="{00000000-0005-0000-0000-0000A0410000}"/>
    <cellStyle name="Normal 2 6 4 2 2 6" xfId="16801" xr:uid="{00000000-0005-0000-0000-0000A1410000}"/>
    <cellStyle name="Normal 2 6 4 2 3" xfId="16802" xr:uid="{00000000-0005-0000-0000-0000A2410000}"/>
    <cellStyle name="Normal 2 6 4 2 3 2" xfId="16803" xr:uid="{00000000-0005-0000-0000-0000A3410000}"/>
    <cellStyle name="Normal 2 6 4 2 3 3" xfId="16804" xr:uid="{00000000-0005-0000-0000-0000A4410000}"/>
    <cellStyle name="Normal 2 6 4 2 3 4" xfId="16805" xr:uid="{00000000-0005-0000-0000-0000A5410000}"/>
    <cellStyle name="Normal 2 6 4 2 3 5" xfId="16806" xr:uid="{00000000-0005-0000-0000-0000A6410000}"/>
    <cellStyle name="Normal 2 6 4 2 4" xfId="16807" xr:uid="{00000000-0005-0000-0000-0000A7410000}"/>
    <cellStyle name="Normal 2 6 4 2 5" xfId="16808" xr:uid="{00000000-0005-0000-0000-0000A8410000}"/>
    <cellStyle name="Normal 2 6 4 2 6" xfId="16809" xr:uid="{00000000-0005-0000-0000-0000A9410000}"/>
    <cellStyle name="Normal 2 6 4 2 7" xfId="16810" xr:uid="{00000000-0005-0000-0000-0000AA410000}"/>
    <cellStyle name="Normal 2 6 4 2 8" xfId="16811" xr:uid="{00000000-0005-0000-0000-0000AB410000}"/>
    <cellStyle name="Normal 2 6 4 2 9" xfId="16812" xr:uid="{00000000-0005-0000-0000-0000AC410000}"/>
    <cellStyle name="Normal 2 6 4 3" xfId="16813" xr:uid="{00000000-0005-0000-0000-0000AD410000}"/>
    <cellStyle name="Normal 2 6 4 3 2" xfId="16814" xr:uid="{00000000-0005-0000-0000-0000AE410000}"/>
    <cellStyle name="Normal 2 6 4 3 3" xfId="16815" xr:uid="{00000000-0005-0000-0000-0000AF410000}"/>
    <cellStyle name="Normal 2 6 4 3 4" xfId="16816" xr:uid="{00000000-0005-0000-0000-0000B0410000}"/>
    <cellStyle name="Normal 2 6 4 3 5" xfId="16817" xr:uid="{00000000-0005-0000-0000-0000B1410000}"/>
    <cellStyle name="Normal 2 6 4 3 6" xfId="16818" xr:uid="{00000000-0005-0000-0000-0000B2410000}"/>
    <cellStyle name="Normal 2 6 4 4" xfId="16819" xr:uid="{00000000-0005-0000-0000-0000B3410000}"/>
    <cellStyle name="Normal 2 6 4 4 2" xfId="16820" xr:uid="{00000000-0005-0000-0000-0000B4410000}"/>
    <cellStyle name="Normal 2 6 4 4 3" xfId="16821" xr:uid="{00000000-0005-0000-0000-0000B5410000}"/>
    <cellStyle name="Normal 2 6 4 4 4" xfId="16822" xr:uid="{00000000-0005-0000-0000-0000B6410000}"/>
    <cellStyle name="Normal 2 6 4 4 5" xfId="16823" xr:uid="{00000000-0005-0000-0000-0000B7410000}"/>
    <cellStyle name="Normal 2 6 4 5" xfId="16824" xr:uid="{00000000-0005-0000-0000-0000B8410000}"/>
    <cellStyle name="Normal 2 6 4 6" xfId="16825" xr:uid="{00000000-0005-0000-0000-0000B9410000}"/>
    <cellStyle name="Normal 2 6 4 7" xfId="16826" xr:uid="{00000000-0005-0000-0000-0000BA410000}"/>
    <cellStyle name="Normal 2 6 4 8" xfId="16827" xr:uid="{00000000-0005-0000-0000-0000BB410000}"/>
    <cellStyle name="Normal 2 6 4 9" xfId="16828" xr:uid="{00000000-0005-0000-0000-0000BC410000}"/>
    <cellStyle name="Normal 2 6 5" xfId="16829" xr:uid="{00000000-0005-0000-0000-0000BD410000}"/>
    <cellStyle name="Normal 2 6 5 10" xfId="16830" xr:uid="{00000000-0005-0000-0000-0000BE410000}"/>
    <cellStyle name="Normal 2 6 5 11" xfId="16831" xr:uid="{00000000-0005-0000-0000-0000BF410000}"/>
    <cellStyle name="Normal 2 6 5 2" xfId="16832" xr:uid="{00000000-0005-0000-0000-0000C0410000}"/>
    <cellStyle name="Normal 2 6 5 2 2" xfId="16833" xr:uid="{00000000-0005-0000-0000-0000C1410000}"/>
    <cellStyle name="Normal 2 6 5 2 2 2" xfId="16834" xr:uid="{00000000-0005-0000-0000-0000C2410000}"/>
    <cellStyle name="Normal 2 6 5 2 2 3" xfId="16835" xr:uid="{00000000-0005-0000-0000-0000C3410000}"/>
    <cellStyle name="Normal 2 6 5 2 2 4" xfId="16836" xr:uid="{00000000-0005-0000-0000-0000C4410000}"/>
    <cellStyle name="Normal 2 6 5 2 2 5" xfId="16837" xr:uid="{00000000-0005-0000-0000-0000C5410000}"/>
    <cellStyle name="Normal 2 6 5 2 3" xfId="16838" xr:uid="{00000000-0005-0000-0000-0000C6410000}"/>
    <cellStyle name="Normal 2 6 5 2 3 2" xfId="16839" xr:uid="{00000000-0005-0000-0000-0000C7410000}"/>
    <cellStyle name="Normal 2 6 5 2 3 3" xfId="16840" xr:uid="{00000000-0005-0000-0000-0000C8410000}"/>
    <cellStyle name="Normal 2 6 5 2 3 4" xfId="16841" xr:uid="{00000000-0005-0000-0000-0000C9410000}"/>
    <cellStyle name="Normal 2 6 5 2 3 5" xfId="16842" xr:uid="{00000000-0005-0000-0000-0000CA410000}"/>
    <cellStyle name="Normal 2 6 5 2 4" xfId="16843" xr:uid="{00000000-0005-0000-0000-0000CB410000}"/>
    <cellStyle name="Normal 2 6 5 2 5" xfId="16844" xr:uid="{00000000-0005-0000-0000-0000CC410000}"/>
    <cellStyle name="Normal 2 6 5 2 6" xfId="16845" xr:uid="{00000000-0005-0000-0000-0000CD410000}"/>
    <cellStyle name="Normal 2 6 5 2 7" xfId="16846" xr:uid="{00000000-0005-0000-0000-0000CE410000}"/>
    <cellStyle name="Normal 2 6 5 2 8" xfId="16847" xr:uid="{00000000-0005-0000-0000-0000CF410000}"/>
    <cellStyle name="Normal 2 6 5 2 9" xfId="16848" xr:uid="{00000000-0005-0000-0000-0000D0410000}"/>
    <cellStyle name="Normal 2 6 5 3" xfId="16849" xr:uid="{00000000-0005-0000-0000-0000D1410000}"/>
    <cellStyle name="Normal 2 6 5 3 2" xfId="16850" xr:uid="{00000000-0005-0000-0000-0000D2410000}"/>
    <cellStyle name="Normal 2 6 5 3 3" xfId="16851" xr:uid="{00000000-0005-0000-0000-0000D3410000}"/>
    <cellStyle name="Normal 2 6 5 3 4" xfId="16852" xr:uid="{00000000-0005-0000-0000-0000D4410000}"/>
    <cellStyle name="Normal 2 6 5 3 5" xfId="16853" xr:uid="{00000000-0005-0000-0000-0000D5410000}"/>
    <cellStyle name="Normal 2 6 5 4" xfId="16854" xr:uid="{00000000-0005-0000-0000-0000D6410000}"/>
    <cellStyle name="Normal 2 6 5 4 2" xfId="16855" xr:uid="{00000000-0005-0000-0000-0000D7410000}"/>
    <cellStyle name="Normal 2 6 5 4 3" xfId="16856" xr:uid="{00000000-0005-0000-0000-0000D8410000}"/>
    <cellStyle name="Normal 2 6 5 4 4" xfId="16857" xr:uid="{00000000-0005-0000-0000-0000D9410000}"/>
    <cellStyle name="Normal 2 6 5 4 5" xfId="16858" xr:uid="{00000000-0005-0000-0000-0000DA410000}"/>
    <cellStyle name="Normal 2 6 5 5" xfId="16859" xr:uid="{00000000-0005-0000-0000-0000DB410000}"/>
    <cellStyle name="Normal 2 6 5 6" xfId="16860" xr:uid="{00000000-0005-0000-0000-0000DC410000}"/>
    <cellStyle name="Normal 2 6 5 7" xfId="16861" xr:uid="{00000000-0005-0000-0000-0000DD410000}"/>
    <cellStyle name="Normal 2 6 5 8" xfId="16862" xr:uid="{00000000-0005-0000-0000-0000DE410000}"/>
    <cellStyle name="Normal 2 6 5 9" xfId="16863" xr:uid="{00000000-0005-0000-0000-0000DF410000}"/>
    <cellStyle name="Normal 2 6 6" xfId="16864" xr:uid="{00000000-0005-0000-0000-0000E0410000}"/>
    <cellStyle name="Normal 2 6 6 10" xfId="16865" xr:uid="{00000000-0005-0000-0000-0000E1410000}"/>
    <cellStyle name="Normal 2 6 6 11" xfId="16866" xr:uid="{00000000-0005-0000-0000-0000E2410000}"/>
    <cellStyle name="Normal 2 6 6 2" xfId="16867" xr:uid="{00000000-0005-0000-0000-0000E3410000}"/>
    <cellStyle name="Normal 2 6 6 2 2" xfId="16868" xr:uid="{00000000-0005-0000-0000-0000E4410000}"/>
    <cellStyle name="Normal 2 6 6 2 2 2" xfId="16869" xr:uid="{00000000-0005-0000-0000-0000E5410000}"/>
    <cellStyle name="Normal 2 6 6 2 2 3" xfId="16870" xr:uid="{00000000-0005-0000-0000-0000E6410000}"/>
    <cellStyle name="Normal 2 6 6 2 2 4" xfId="16871" xr:uid="{00000000-0005-0000-0000-0000E7410000}"/>
    <cellStyle name="Normal 2 6 6 2 2 5" xfId="16872" xr:uid="{00000000-0005-0000-0000-0000E8410000}"/>
    <cellStyle name="Normal 2 6 6 2 3" xfId="16873" xr:uid="{00000000-0005-0000-0000-0000E9410000}"/>
    <cellStyle name="Normal 2 6 6 2 3 2" xfId="16874" xr:uid="{00000000-0005-0000-0000-0000EA410000}"/>
    <cellStyle name="Normal 2 6 6 2 3 3" xfId="16875" xr:uid="{00000000-0005-0000-0000-0000EB410000}"/>
    <cellStyle name="Normal 2 6 6 2 3 4" xfId="16876" xr:uid="{00000000-0005-0000-0000-0000EC410000}"/>
    <cellStyle name="Normal 2 6 6 2 3 5" xfId="16877" xr:uid="{00000000-0005-0000-0000-0000ED410000}"/>
    <cellStyle name="Normal 2 6 6 2 4" xfId="16878" xr:uid="{00000000-0005-0000-0000-0000EE410000}"/>
    <cellStyle name="Normal 2 6 6 2 5" xfId="16879" xr:uid="{00000000-0005-0000-0000-0000EF410000}"/>
    <cellStyle name="Normal 2 6 6 2 6" xfId="16880" xr:uid="{00000000-0005-0000-0000-0000F0410000}"/>
    <cellStyle name="Normal 2 6 6 2 7" xfId="16881" xr:uid="{00000000-0005-0000-0000-0000F1410000}"/>
    <cellStyle name="Normal 2 6 6 2 8" xfId="16882" xr:uid="{00000000-0005-0000-0000-0000F2410000}"/>
    <cellStyle name="Normal 2 6 6 2 9" xfId="16883" xr:uid="{00000000-0005-0000-0000-0000F3410000}"/>
    <cellStyle name="Normal 2 6 6 3" xfId="16884" xr:uid="{00000000-0005-0000-0000-0000F4410000}"/>
    <cellStyle name="Normal 2 6 6 3 2" xfId="16885" xr:uid="{00000000-0005-0000-0000-0000F5410000}"/>
    <cellStyle name="Normal 2 6 6 3 3" xfId="16886" xr:uid="{00000000-0005-0000-0000-0000F6410000}"/>
    <cellStyle name="Normal 2 6 6 3 4" xfId="16887" xr:uid="{00000000-0005-0000-0000-0000F7410000}"/>
    <cellStyle name="Normal 2 6 6 3 5" xfId="16888" xr:uid="{00000000-0005-0000-0000-0000F8410000}"/>
    <cellStyle name="Normal 2 6 6 4" xfId="16889" xr:uid="{00000000-0005-0000-0000-0000F9410000}"/>
    <cellStyle name="Normal 2 6 6 4 2" xfId="16890" xr:uid="{00000000-0005-0000-0000-0000FA410000}"/>
    <cellStyle name="Normal 2 6 6 4 3" xfId="16891" xr:uid="{00000000-0005-0000-0000-0000FB410000}"/>
    <cellStyle name="Normal 2 6 6 4 4" xfId="16892" xr:uid="{00000000-0005-0000-0000-0000FC410000}"/>
    <cellStyle name="Normal 2 6 6 4 5" xfId="16893" xr:uid="{00000000-0005-0000-0000-0000FD410000}"/>
    <cellStyle name="Normal 2 6 6 5" xfId="16894" xr:uid="{00000000-0005-0000-0000-0000FE410000}"/>
    <cellStyle name="Normal 2 6 6 6" xfId="16895" xr:uid="{00000000-0005-0000-0000-0000FF410000}"/>
    <cellStyle name="Normal 2 6 6 7" xfId="16896" xr:uid="{00000000-0005-0000-0000-000000420000}"/>
    <cellStyle name="Normal 2 6 6 8" xfId="16897" xr:uid="{00000000-0005-0000-0000-000001420000}"/>
    <cellStyle name="Normal 2 6 6 9" xfId="16898" xr:uid="{00000000-0005-0000-0000-000002420000}"/>
    <cellStyle name="Normal 2 6 7" xfId="16899" xr:uid="{00000000-0005-0000-0000-000003420000}"/>
    <cellStyle name="Normal 2 6 7 2" xfId="16900" xr:uid="{00000000-0005-0000-0000-000004420000}"/>
    <cellStyle name="Normal 2 6 7 2 2" xfId="16901" xr:uid="{00000000-0005-0000-0000-000005420000}"/>
    <cellStyle name="Normal 2 6 7 2 3" xfId="16902" xr:uid="{00000000-0005-0000-0000-000006420000}"/>
    <cellStyle name="Normal 2 6 7 2 4" xfId="16903" xr:uid="{00000000-0005-0000-0000-000007420000}"/>
    <cellStyle name="Normal 2 6 7 2 5" xfId="16904" xr:uid="{00000000-0005-0000-0000-000008420000}"/>
    <cellStyle name="Normal 2 6 7 3" xfId="16905" xr:uid="{00000000-0005-0000-0000-000009420000}"/>
    <cellStyle name="Normal 2 6 7 3 2" xfId="16906" xr:uid="{00000000-0005-0000-0000-00000A420000}"/>
    <cellStyle name="Normal 2 6 7 3 3" xfId="16907" xr:uid="{00000000-0005-0000-0000-00000B420000}"/>
    <cellStyle name="Normal 2 6 7 3 4" xfId="16908" xr:uid="{00000000-0005-0000-0000-00000C420000}"/>
    <cellStyle name="Normal 2 6 7 3 5" xfId="16909" xr:uid="{00000000-0005-0000-0000-00000D420000}"/>
    <cellStyle name="Normal 2 6 7 4" xfId="16910" xr:uid="{00000000-0005-0000-0000-00000E420000}"/>
    <cellStyle name="Normal 2 6 7 5" xfId="16911" xr:uid="{00000000-0005-0000-0000-00000F420000}"/>
    <cellStyle name="Normal 2 6 7 6" xfId="16912" xr:uid="{00000000-0005-0000-0000-000010420000}"/>
    <cellStyle name="Normal 2 6 7 7" xfId="16913" xr:uid="{00000000-0005-0000-0000-000011420000}"/>
    <cellStyle name="Normal 2 6 7 8" xfId="16914" xr:uid="{00000000-0005-0000-0000-000012420000}"/>
    <cellStyle name="Normal 2 6 7 9" xfId="16915" xr:uid="{00000000-0005-0000-0000-000013420000}"/>
    <cellStyle name="Normal 2 6 8" xfId="16916" xr:uid="{00000000-0005-0000-0000-000014420000}"/>
    <cellStyle name="Normal 2 6 8 2" xfId="16917" xr:uid="{00000000-0005-0000-0000-000015420000}"/>
    <cellStyle name="Normal 2 6 8 2 2" xfId="16918" xr:uid="{00000000-0005-0000-0000-000016420000}"/>
    <cellStyle name="Normal 2 6 8 2 3" xfId="16919" xr:uid="{00000000-0005-0000-0000-000017420000}"/>
    <cellStyle name="Normal 2 6 8 2 4" xfId="16920" xr:uid="{00000000-0005-0000-0000-000018420000}"/>
    <cellStyle name="Normal 2 6 8 2 5" xfId="16921" xr:uid="{00000000-0005-0000-0000-000019420000}"/>
    <cellStyle name="Normal 2 6 8 3" xfId="16922" xr:uid="{00000000-0005-0000-0000-00001A420000}"/>
    <cellStyle name="Normal 2 6 8 3 2" xfId="16923" xr:uid="{00000000-0005-0000-0000-00001B420000}"/>
    <cellStyle name="Normal 2 6 8 3 3" xfId="16924" xr:uid="{00000000-0005-0000-0000-00001C420000}"/>
    <cellStyle name="Normal 2 6 8 3 4" xfId="16925" xr:uid="{00000000-0005-0000-0000-00001D420000}"/>
    <cellStyle name="Normal 2 6 8 3 5" xfId="16926" xr:uid="{00000000-0005-0000-0000-00001E420000}"/>
    <cellStyle name="Normal 2 6 8 4" xfId="16927" xr:uid="{00000000-0005-0000-0000-00001F420000}"/>
    <cellStyle name="Normal 2 6 8 5" xfId="16928" xr:uid="{00000000-0005-0000-0000-000020420000}"/>
    <cellStyle name="Normal 2 6 8 6" xfId="16929" xr:uid="{00000000-0005-0000-0000-000021420000}"/>
    <cellStyle name="Normal 2 6 8 7" xfId="16930" xr:uid="{00000000-0005-0000-0000-000022420000}"/>
    <cellStyle name="Normal 2 6 8 8" xfId="16931" xr:uid="{00000000-0005-0000-0000-000023420000}"/>
    <cellStyle name="Normal 2 6 8 9" xfId="16932" xr:uid="{00000000-0005-0000-0000-000024420000}"/>
    <cellStyle name="Normal 2 6 9" xfId="16933" xr:uid="{00000000-0005-0000-0000-000025420000}"/>
    <cellStyle name="Normal 2 6 9 2" xfId="16934" xr:uid="{00000000-0005-0000-0000-000026420000}"/>
    <cellStyle name="Normal 2 6 9 3" xfId="16935" xr:uid="{00000000-0005-0000-0000-000027420000}"/>
    <cellStyle name="Normal 2 6 9 4" xfId="16936" xr:uid="{00000000-0005-0000-0000-000028420000}"/>
    <cellStyle name="Normal 2 6 9 5" xfId="16937" xr:uid="{00000000-0005-0000-0000-000029420000}"/>
    <cellStyle name="Normal 2 7" xfId="16938" xr:uid="{00000000-0005-0000-0000-00002A420000}"/>
    <cellStyle name="Normal 2 7 2" xfId="16939" xr:uid="{00000000-0005-0000-0000-00002B420000}"/>
    <cellStyle name="Normal 2 7 2 2" xfId="16940" xr:uid="{00000000-0005-0000-0000-00002C420000}"/>
    <cellStyle name="Normal 2 7 3" xfId="16941" xr:uid="{00000000-0005-0000-0000-00002D420000}"/>
    <cellStyle name="Normal 2 8" xfId="16942" xr:uid="{00000000-0005-0000-0000-00002E420000}"/>
    <cellStyle name="Normal 2 8 2" xfId="16943" xr:uid="{00000000-0005-0000-0000-00002F420000}"/>
    <cellStyle name="Normal 2 8 2 2" xfId="16944" xr:uid="{00000000-0005-0000-0000-000030420000}"/>
    <cellStyle name="Normal 2 8 3" xfId="16945" xr:uid="{00000000-0005-0000-0000-000031420000}"/>
    <cellStyle name="Normal 2 9" xfId="16946" xr:uid="{00000000-0005-0000-0000-000032420000}"/>
    <cellStyle name="Normal 2 9 2" xfId="16947" xr:uid="{00000000-0005-0000-0000-000033420000}"/>
    <cellStyle name="Normal 2_Action Item List 01.27.10" xfId="16948" xr:uid="{00000000-0005-0000-0000-000034420000}"/>
    <cellStyle name="Normal 20" xfId="16949" xr:uid="{00000000-0005-0000-0000-000035420000}"/>
    <cellStyle name="Normal 20 2" xfId="16950" xr:uid="{00000000-0005-0000-0000-000036420000}"/>
    <cellStyle name="Normal 20 2 2" xfId="16951" xr:uid="{00000000-0005-0000-0000-000037420000}"/>
    <cellStyle name="Normal 20 2 2 2" xfId="16952" xr:uid="{00000000-0005-0000-0000-000038420000}"/>
    <cellStyle name="Normal 20 2 2 2 2" xfId="16953" xr:uid="{00000000-0005-0000-0000-000039420000}"/>
    <cellStyle name="Normal 20 2 2 3" xfId="16954" xr:uid="{00000000-0005-0000-0000-00003A420000}"/>
    <cellStyle name="Normal 20 2 2 3 2" xfId="16955" xr:uid="{00000000-0005-0000-0000-00003B420000}"/>
    <cellStyle name="Normal 20 2 2 3 2 2" xfId="16956" xr:uid="{00000000-0005-0000-0000-00003C420000}"/>
    <cellStyle name="Normal 20 2 2 3 3" xfId="16957" xr:uid="{00000000-0005-0000-0000-00003D420000}"/>
    <cellStyle name="Normal 20 2 2 4" xfId="16958" xr:uid="{00000000-0005-0000-0000-00003E420000}"/>
    <cellStyle name="Normal 20 2 2 4 2" xfId="16959" xr:uid="{00000000-0005-0000-0000-00003F420000}"/>
    <cellStyle name="Normal 20 2 2 4 2 2" xfId="16960" xr:uid="{00000000-0005-0000-0000-000040420000}"/>
    <cellStyle name="Normal 20 2 2 4 3" xfId="16961" xr:uid="{00000000-0005-0000-0000-000041420000}"/>
    <cellStyle name="Normal 20 2 2 5" xfId="16962" xr:uid="{00000000-0005-0000-0000-000042420000}"/>
    <cellStyle name="Normal 20 2 3" xfId="16963" xr:uid="{00000000-0005-0000-0000-000043420000}"/>
    <cellStyle name="Normal 20 2 3 2" xfId="16964" xr:uid="{00000000-0005-0000-0000-000044420000}"/>
    <cellStyle name="Normal 20 2 3 2 2" xfId="16965" xr:uid="{00000000-0005-0000-0000-000045420000}"/>
    <cellStyle name="Normal 20 2 3 3" xfId="16966" xr:uid="{00000000-0005-0000-0000-000046420000}"/>
    <cellStyle name="Normal 20 2 4" xfId="16967" xr:uid="{00000000-0005-0000-0000-000047420000}"/>
    <cellStyle name="Normal 20 2 4 2" xfId="16968" xr:uid="{00000000-0005-0000-0000-000048420000}"/>
    <cellStyle name="Normal 20 2 4 2 2" xfId="16969" xr:uid="{00000000-0005-0000-0000-000049420000}"/>
    <cellStyle name="Normal 20 2 4 3" xfId="16970" xr:uid="{00000000-0005-0000-0000-00004A420000}"/>
    <cellStyle name="Normal 20 2 5" xfId="16971" xr:uid="{00000000-0005-0000-0000-00004B420000}"/>
    <cellStyle name="Normal 20 2 5 2" xfId="16972" xr:uid="{00000000-0005-0000-0000-00004C420000}"/>
    <cellStyle name="Normal 20 2 5 2 2" xfId="16973" xr:uid="{00000000-0005-0000-0000-00004D420000}"/>
    <cellStyle name="Normal 20 2 5 3" xfId="16974" xr:uid="{00000000-0005-0000-0000-00004E420000}"/>
    <cellStyle name="Normal 20 2 6" xfId="16975" xr:uid="{00000000-0005-0000-0000-00004F420000}"/>
    <cellStyle name="Normal 20 3" xfId="16976" xr:uid="{00000000-0005-0000-0000-000050420000}"/>
    <cellStyle name="Normal 20 3 2" xfId="16977" xr:uid="{00000000-0005-0000-0000-000051420000}"/>
    <cellStyle name="Normal 20 3 2 2" xfId="16978" xr:uid="{00000000-0005-0000-0000-000052420000}"/>
    <cellStyle name="Normal 20 3 3" xfId="16979" xr:uid="{00000000-0005-0000-0000-000053420000}"/>
    <cellStyle name="Normal 20 3 3 2" xfId="16980" xr:uid="{00000000-0005-0000-0000-000054420000}"/>
    <cellStyle name="Normal 20 3 3 2 2" xfId="16981" xr:uid="{00000000-0005-0000-0000-000055420000}"/>
    <cellStyle name="Normal 20 3 3 3" xfId="16982" xr:uid="{00000000-0005-0000-0000-000056420000}"/>
    <cellStyle name="Normal 20 3 4" xfId="16983" xr:uid="{00000000-0005-0000-0000-000057420000}"/>
    <cellStyle name="Normal 20 3 4 2" xfId="16984" xr:uid="{00000000-0005-0000-0000-000058420000}"/>
    <cellStyle name="Normal 20 3 4 2 2" xfId="16985" xr:uid="{00000000-0005-0000-0000-000059420000}"/>
    <cellStyle name="Normal 20 3 4 3" xfId="16986" xr:uid="{00000000-0005-0000-0000-00005A420000}"/>
    <cellStyle name="Normal 20 3 5" xfId="16987" xr:uid="{00000000-0005-0000-0000-00005B420000}"/>
    <cellStyle name="Normal 20 4" xfId="16988" xr:uid="{00000000-0005-0000-0000-00005C420000}"/>
    <cellStyle name="Normal 20 4 2" xfId="16989" xr:uid="{00000000-0005-0000-0000-00005D420000}"/>
    <cellStyle name="Normal 20 4 2 2" xfId="16990" xr:uid="{00000000-0005-0000-0000-00005E420000}"/>
    <cellStyle name="Normal 20 4 2 2 2" xfId="16991" xr:uid="{00000000-0005-0000-0000-00005F420000}"/>
    <cellStyle name="Normal 20 4 2 3" xfId="16992" xr:uid="{00000000-0005-0000-0000-000060420000}"/>
    <cellStyle name="Normal 20 4 2 3 2" xfId="16993" xr:uid="{00000000-0005-0000-0000-000061420000}"/>
    <cellStyle name="Normal 20 4 2 3 2 2" xfId="16994" xr:uid="{00000000-0005-0000-0000-000062420000}"/>
    <cellStyle name="Normal 20 4 2 3 3" xfId="16995" xr:uid="{00000000-0005-0000-0000-000063420000}"/>
    <cellStyle name="Normal 20 4 2 4" xfId="16996" xr:uid="{00000000-0005-0000-0000-000064420000}"/>
    <cellStyle name="Normal 20 4 3" xfId="16997" xr:uid="{00000000-0005-0000-0000-000065420000}"/>
    <cellStyle name="Normal 20 4 3 2" xfId="16998" xr:uid="{00000000-0005-0000-0000-000066420000}"/>
    <cellStyle name="Normal 20 4 3 2 2" xfId="16999" xr:uid="{00000000-0005-0000-0000-000067420000}"/>
    <cellStyle name="Normal 20 4 3 3" xfId="17000" xr:uid="{00000000-0005-0000-0000-000068420000}"/>
    <cellStyle name="Normal 20 4 4" xfId="17001" xr:uid="{00000000-0005-0000-0000-000069420000}"/>
    <cellStyle name="Normal 20 4 4 2" xfId="17002" xr:uid="{00000000-0005-0000-0000-00006A420000}"/>
    <cellStyle name="Normal 20 4 4 2 2" xfId="17003" xr:uid="{00000000-0005-0000-0000-00006B420000}"/>
    <cellStyle name="Normal 20 4 4 3" xfId="17004" xr:uid="{00000000-0005-0000-0000-00006C420000}"/>
    <cellStyle name="Normal 20 4 5" xfId="17005" xr:uid="{00000000-0005-0000-0000-00006D420000}"/>
    <cellStyle name="Normal 20 4 5 2" xfId="17006" xr:uid="{00000000-0005-0000-0000-00006E420000}"/>
    <cellStyle name="Normal 20 4 5 2 2" xfId="17007" xr:uid="{00000000-0005-0000-0000-00006F420000}"/>
    <cellStyle name="Normal 20 4 5 3" xfId="17008" xr:uid="{00000000-0005-0000-0000-000070420000}"/>
    <cellStyle name="Normal 20 4 6" xfId="17009" xr:uid="{00000000-0005-0000-0000-000071420000}"/>
    <cellStyle name="Normal 20 5" xfId="17010" xr:uid="{00000000-0005-0000-0000-000072420000}"/>
    <cellStyle name="Normal 200" xfId="17011" xr:uid="{00000000-0005-0000-0000-000073420000}"/>
    <cellStyle name="Normal 200 2" xfId="17012" xr:uid="{00000000-0005-0000-0000-000074420000}"/>
    <cellStyle name="Normal 200 2 2" xfId="17013" xr:uid="{00000000-0005-0000-0000-000075420000}"/>
    <cellStyle name="Normal 200 2 2 2" xfId="17014" xr:uid="{00000000-0005-0000-0000-000076420000}"/>
    <cellStyle name="Normal 200 2 2 2 2" xfId="17015" xr:uid="{00000000-0005-0000-0000-000077420000}"/>
    <cellStyle name="Normal 200 2 2 3" xfId="17016" xr:uid="{00000000-0005-0000-0000-000078420000}"/>
    <cellStyle name="Normal 200 2 2 3 2" xfId="17017" xr:uid="{00000000-0005-0000-0000-000079420000}"/>
    <cellStyle name="Normal 200 2 2 3 2 2" xfId="17018" xr:uid="{00000000-0005-0000-0000-00007A420000}"/>
    <cellStyle name="Normal 200 2 2 3 3" xfId="17019" xr:uid="{00000000-0005-0000-0000-00007B420000}"/>
    <cellStyle name="Normal 200 2 2 4" xfId="17020" xr:uid="{00000000-0005-0000-0000-00007C420000}"/>
    <cellStyle name="Normal 200 2 2 4 2" xfId="17021" xr:uid="{00000000-0005-0000-0000-00007D420000}"/>
    <cellStyle name="Normal 200 2 2 4 2 2" xfId="17022" xr:uid="{00000000-0005-0000-0000-00007E420000}"/>
    <cellStyle name="Normal 200 2 2 4 3" xfId="17023" xr:uid="{00000000-0005-0000-0000-00007F420000}"/>
    <cellStyle name="Normal 200 2 2 5" xfId="17024" xr:uid="{00000000-0005-0000-0000-000080420000}"/>
    <cellStyle name="Normal 200 2 3" xfId="17025" xr:uid="{00000000-0005-0000-0000-000081420000}"/>
    <cellStyle name="Normal 200 2 3 2" xfId="17026" xr:uid="{00000000-0005-0000-0000-000082420000}"/>
    <cellStyle name="Normal 200 2 3 2 2" xfId="17027" xr:uid="{00000000-0005-0000-0000-000083420000}"/>
    <cellStyle name="Normal 200 2 3 2 2 2" xfId="17028" xr:uid="{00000000-0005-0000-0000-000084420000}"/>
    <cellStyle name="Normal 200 2 3 2 3" xfId="17029" xr:uid="{00000000-0005-0000-0000-000085420000}"/>
    <cellStyle name="Normal 200 2 3 2 3 2" xfId="17030" xr:uid="{00000000-0005-0000-0000-000086420000}"/>
    <cellStyle name="Normal 200 2 3 2 3 2 2" xfId="17031" xr:uid="{00000000-0005-0000-0000-000087420000}"/>
    <cellStyle name="Normal 200 2 3 2 3 3" xfId="17032" xr:uid="{00000000-0005-0000-0000-000088420000}"/>
    <cellStyle name="Normal 200 2 3 2 4" xfId="17033" xr:uid="{00000000-0005-0000-0000-000089420000}"/>
    <cellStyle name="Normal 200 2 3 3" xfId="17034" xr:uid="{00000000-0005-0000-0000-00008A420000}"/>
    <cellStyle name="Normal 200 2 3 3 2" xfId="17035" xr:uid="{00000000-0005-0000-0000-00008B420000}"/>
    <cellStyle name="Normal 200 2 3 3 2 2" xfId="17036" xr:uid="{00000000-0005-0000-0000-00008C420000}"/>
    <cellStyle name="Normal 200 2 3 3 3" xfId="17037" xr:uid="{00000000-0005-0000-0000-00008D420000}"/>
    <cellStyle name="Normal 200 2 3 4" xfId="17038" xr:uid="{00000000-0005-0000-0000-00008E420000}"/>
    <cellStyle name="Normal 200 2 3 4 2" xfId="17039" xr:uid="{00000000-0005-0000-0000-00008F420000}"/>
    <cellStyle name="Normal 200 2 3 4 2 2" xfId="17040" xr:uid="{00000000-0005-0000-0000-000090420000}"/>
    <cellStyle name="Normal 200 2 3 4 3" xfId="17041" xr:uid="{00000000-0005-0000-0000-000091420000}"/>
    <cellStyle name="Normal 200 2 3 5" xfId="17042" xr:uid="{00000000-0005-0000-0000-000092420000}"/>
    <cellStyle name="Normal 200 2 3 5 2" xfId="17043" xr:uid="{00000000-0005-0000-0000-000093420000}"/>
    <cellStyle name="Normal 200 2 3 5 2 2" xfId="17044" xr:uid="{00000000-0005-0000-0000-000094420000}"/>
    <cellStyle name="Normal 200 2 3 5 3" xfId="17045" xr:uid="{00000000-0005-0000-0000-000095420000}"/>
    <cellStyle name="Normal 200 2 3 6" xfId="17046" xr:uid="{00000000-0005-0000-0000-000096420000}"/>
    <cellStyle name="Normal 200 2 4" xfId="17047" xr:uid="{00000000-0005-0000-0000-000097420000}"/>
    <cellStyle name="Normal 200 2 4 2" xfId="17048" xr:uid="{00000000-0005-0000-0000-000098420000}"/>
    <cellStyle name="Normal 200 2 4 2 2" xfId="17049" xr:uid="{00000000-0005-0000-0000-000099420000}"/>
    <cellStyle name="Normal 200 2 4 3" xfId="17050" xr:uid="{00000000-0005-0000-0000-00009A420000}"/>
    <cellStyle name="Normal 200 2 5" xfId="17051" xr:uid="{00000000-0005-0000-0000-00009B420000}"/>
    <cellStyle name="Normal 200 2 5 2" xfId="17052" xr:uid="{00000000-0005-0000-0000-00009C420000}"/>
    <cellStyle name="Normal 200 2 5 2 2" xfId="17053" xr:uid="{00000000-0005-0000-0000-00009D420000}"/>
    <cellStyle name="Normal 200 2 5 3" xfId="17054" xr:uid="{00000000-0005-0000-0000-00009E420000}"/>
    <cellStyle name="Normal 200 2 6" xfId="17055" xr:uid="{00000000-0005-0000-0000-00009F420000}"/>
    <cellStyle name="Normal 200 2 6 2" xfId="17056" xr:uid="{00000000-0005-0000-0000-0000A0420000}"/>
    <cellStyle name="Normal 200 2 6 2 2" xfId="17057" xr:uid="{00000000-0005-0000-0000-0000A1420000}"/>
    <cellStyle name="Normal 200 2 6 3" xfId="17058" xr:uid="{00000000-0005-0000-0000-0000A2420000}"/>
    <cellStyle name="Normal 200 2 7" xfId="17059" xr:uid="{00000000-0005-0000-0000-0000A3420000}"/>
    <cellStyle name="Normal 200 3" xfId="17060" xr:uid="{00000000-0005-0000-0000-0000A4420000}"/>
    <cellStyle name="Normal 200 3 2" xfId="17061" xr:uid="{00000000-0005-0000-0000-0000A5420000}"/>
    <cellStyle name="Normal 200 3 2 2" xfId="17062" xr:uid="{00000000-0005-0000-0000-0000A6420000}"/>
    <cellStyle name="Normal 200 3 3" xfId="17063" xr:uid="{00000000-0005-0000-0000-0000A7420000}"/>
    <cellStyle name="Normal 200 3 3 2" xfId="17064" xr:uid="{00000000-0005-0000-0000-0000A8420000}"/>
    <cellStyle name="Normal 200 3 3 2 2" xfId="17065" xr:uid="{00000000-0005-0000-0000-0000A9420000}"/>
    <cellStyle name="Normal 200 3 3 3" xfId="17066" xr:uid="{00000000-0005-0000-0000-0000AA420000}"/>
    <cellStyle name="Normal 200 3 4" xfId="17067" xr:uid="{00000000-0005-0000-0000-0000AB420000}"/>
    <cellStyle name="Normal 200 3 4 2" xfId="17068" xr:uid="{00000000-0005-0000-0000-0000AC420000}"/>
    <cellStyle name="Normal 200 3 4 2 2" xfId="17069" xr:uid="{00000000-0005-0000-0000-0000AD420000}"/>
    <cellStyle name="Normal 200 3 4 3" xfId="17070" xr:uid="{00000000-0005-0000-0000-0000AE420000}"/>
    <cellStyle name="Normal 200 3 5" xfId="17071" xr:uid="{00000000-0005-0000-0000-0000AF420000}"/>
    <cellStyle name="Normal 200 4" xfId="17072" xr:uid="{00000000-0005-0000-0000-0000B0420000}"/>
    <cellStyle name="Normal 200 4 2" xfId="17073" xr:uid="{00000000-0005-0000-0000-0000B1420000}"/>
    <cellStyle name="Normal 200 4 2 2" xfId="17074" xr:uid="{00000000-0005-0000-0000-0000B2420000}"/>
    <cellStyle name="Normal 200 4 2 2 2" xfId="17075" xr:uid="{00000000-0005-0000-0000-0000B3420000}"/>
    <cellStyle name="Normal 200 4 2 3" xfId="17076" xr:uid="{00000000-0005-0000-0000-0000B4420000}"/>
    <cellStyle name="Normal 200 4 2 3 2" xfId="17077" xr:uid="{00000000-0005-0000-0000-0000B5420000}"/>
    <cellStyle name="Normal 200 4 2 3 2 2" xfId="17078" xr:uid="{00000000-0005-0000-0000-0000B6420000}"/>
    <cellStyle name="Normal 200 4 2 3 3" xfId="17079" xr:uid="{00000000-0005-0000-0000-0000B7420000}"/>
    <cellStyle name="Normal 200 4 2 4" xfId="17080" xr:uid="{00000000-0005-0000-0000-0000B8420000}"/>
    <cellStyle name="Normal 200 4 3" xfId="17081" xr:uid="{00000000-0005-0000-0000-0000B9420000}"/>
    <cellStyle name="Normal 200 4 3 2" xfId="17082" xr:uid="{00000000-0005-0000-0000-0000BA420000}"/>
    <cellStyle name="Normal 200 4 3 2 2" xfId="17083" xr:uid="{00000000-0005-0000-0000-0000BB420000}"/>
    <cellStyle name="Normal 200 4 3 3" xfId="17084" xr:uid="{00000000-0005-0000-0000-0000BC420000}"/>
    <cellStyle name="Normal 200 4 4" xfId="17085" xr:uid="{00000000-0005-0000-0000-0000BD420000}"/>
    <cellStyle name="Normal 200 4 4 2" xfId="17086" xr:uid="{00000000-0005-0000-0000-0000BE420000}"/>
    <cellStyle name="Normal 200 4 4 2 2" xfId="17087" xr:uid="{00000000-0005-0000-0000-0000BF420000}"/>
    <cellStyle name="Normal 200 4 4 3" xfId="17088" xr:uid="{00000000-0005-0000-0000-0000C0420000}"/>
    <cellStyle name="Normal 200 4 5" xfId="17089" xr:uid="{00000000-0005-0000-0000-0000C1420000}"/>
    <cellStyle name="Normal 200 4 5 2" xfId="17090" xr:uid="{00000000-0005-0000-0000-0000C2420000}"/>
    <cellStyle name="Normal 200 4 5 2 2" xfId="17091" xr:uid="{00000000-0005-0000-0000-0000C3420000}"/>
    <cellStyle name="Normal 200 4 5 3" xfId="17092" xr:uid="{00000000-0005-0000-0000-0000C4420000}"/>
    <cellStyle name="Normal 200 4 6" xfId="17093" xr:uid="{00000000-0005-0000-0000-0000C5420000}"/>
    <cellStyle name="Normal 200 5" xfId="17094" xr:uid="{00000000-0005-0000-0000-0000C6420000}"/>
    <cellStyle name="Normal 200 5 2" xfId="17095" xr:uid="{00000000-0005-0000-0000-0000C7420000}"/>
    <cellStyle name="Normal 200 5 2 2" xfId="17096" xr:uid="{00000000-0005-0000-0000-0000C8420000}"/>
    <cellStyle name="Normal 200 5 3" xfId="17097" xr:uid="{00000000-0005-0000-0000-0000C9420000}"/>
    <cellStyle name="Normal 200 6" xfId="17098" xr:uid="{00000000-0005-0000-0000-0000CA420000}"/>
    <cellStyle name="Normal 200 6 2" xfId="17099" xr:uid="{00000000-0005-0000-0000-0000CB420000}"/>
    <cellStyle name="Normal 200 6 2 2" xfId="17100" xr:uid="{00000000-0005-0000-0000-0000CC420000}"/>
    <cellStyle name="Normal 200 6 3" xfId="17101" xr:uid="{00000000-0005-0000-0000-0000CD420000}"/>
    <cellStyle name="Normal 200 7" xfId="17102" xr:uid="{00000000-0005-0000-0000-0000CE420000}"/>
    <cellStyle name="Normal 200 7 2" xfId="17103" xr:uid="{00000000-0005-0000-0000-0000CF420000}"/>
    <cellStyle name="Normal 200 7 2 2" xfId="17104" xr:uid="{00000000-0005-0000-0000-0000D0420000}"/>
    <cellStyle name="Normal 200 7 3" xfId="17105" xr:uid="{00000000-0005-0000-0000-0000D1420000}"/>
    <cellStyle name="Normal 200 8" xfId="17106" xr:uid="{00000000-0005-0000-0000-0000D2420000}"/>
    <cellStyle name="Normal 201" xfId="17107" xr:uid="{00000000-0005-0000-0000-0000D3420000}"/>
    <cellStyle name="Normal 201 2" xfId="17108" xr:uid="{00000000-0005-0000-0000-0000D4420000}"/>
    <cellStyle name="Normal 201 2 2" xfId="17109" xr:uid="{00000000-0005-0000-0000-0000D5420000}"/>
    <cellStyle name="Normal 201 2 2 2" xfId="17110" xr:uid="{00000000-0005-0000-0000-0000D6420000}"/>
    <cellStyle name="Normal 201 2 2 2 2" xfId="17111" xr:uid="{00000000-0005-0000-0000-0000D7420000}"/>
    <cellStyle name="Normal 201 2 2 3" xfId="17112" xr:uid="{00000000-0005-0000-0000-0000D8420000}"/>
    <cellStyle name="Normal 201 2 2 3 2" xfId="17113" xr:uid="{00000000-0005-0000-0000-0000D9420000}"/>
    <cellStyle name="Normal 201 2 2 3 2 2" xfId="17114" xr:uid="{00000000-0005-0000-0000-0000DA420000}"/>
    <cellStyle name="Normal 201 2 2 3 3" xfId="17115" xr:uid="{00000000-0005-0000-0000-0000DB420000}"/>
    <cellStyle name="Normal 201 2 2 4" xfId="17116" xr:uid="{00000000-0005-0000-0000-0000DC420000}"/>
    <cellStyle name="Normal 201 2 2 4 2" xfId="17117" xr:uid="{00000000-0005-0000-0000-0000DD420000}"/>
    <cellStyle name="Normal 201 2 2 4 2 2" xfId="17118" xr:uid="{00000000-0005-0000-0000-0000DE420000}"/>
    <cellStyle name="Normal 201 2 2 4 3" xfId="17119" xr:uid="{00000000-0005-0000-0000-0000DF420000}"/>
    <cellStyle name="Normal 201 2 2 5" xfId="17120" xr:uid="{00000000-0005-0000-0000-0000E0420000}"/>
    <cellStyle name="Normal 201 2 3" xfId="17121" xr:uid="{00000000-0005-0000-0000-0000E1420000}"/>
    <cellStyle name="Normal 201 2 3 2" xfId="17122" xr:uid="{00000000-0005-0000-0000-0000E2420000}"/>
    <cellStyle name="Normal 201 2 3 2 2" xfId="17123" xr:uid="{00000000-0005-0000-0000-0000E3420000}"/>
    <cellStyle name="Normal 201 2 3 2 2 2" xfId="17124" xr:uid="{00000000-0005-0000-0000-0000E4420000}"/>
    <cellStyle name="Normal 201 2 3 2 3" xfId="17125" xr:uid="{00000000-0005-0000-0000-0000E5420000}"/>
    <cellStyle name="Normal 201 2 3 2 3 2" xfId="17126" xr:uid="{00000000-0005-0000-0000-0000E6420000}"/>
    <cellStyle name="Normal 201 2 3 2 3 2 2" xfId="17127" xr:uid="{00000000-0005-0000-0000-0000E7420000}"/>
    <cellStyle name="Normal 201 2 3 2 3 3" xfId="17128" xr:uid="{00000000-0005-0000-0000-0000E8420000}"/>
    <cellStyle name="Normal 201 2 3 2 4" xfId="17129" xr:uid="{00000000-0005-0000-0000-0000E9420000}"/>
    <cellStyle name="Normal 201 2 3 3" xfId="17130" xr:uid="{00000000-0005-0000-0000-0000EA420000}"/>
    <cellStyle name="Normal 201 2 3 3 2" xfId="17131" xr:uid="{00000000-0005-0000-0000-0000EB420000}"/>
    <cellStyle name="Normal 201 2 3 3 2 2" xfId="17132" xr:uid="{00000000-0005-0000-0000-0000EC420000}"/>
    <cellStyle name="Normal 201 2 3 3 3" xfId="17133" xr:uid="{00000000-0005-0000-0000-0000ED420000}"/>
    <cellStyle name="Normal 201 2 3 4" xfId="17134" xr:uid="{00000000-0005-0000-0000-0000EE420000}"/>
    <cellStyle name="Normal 201 2 3 4 2" xfId="17135" xr:uid="{00000000-0005-0000-0000-0000EF420000}"/>
    <cellStyle name="Normal 201 2 3 4 2 2" xfId="17136" xr:uid="{00000000-0005-0000-0000-0000F0420000}"/>
    <cellStyle name="Normal 201 2 3 4 3" xfId="17137" xr:uid="{00000000-0005-0000-0000-0000F1420000}"/>
    <cellStyle name="Normal 201 2 3 5" xfId="17138" xr:uid="{00000000-0005-0000-0000-0000F2420000}"/>
    <cellStyle name="Normal 201 2 3 5 2" xfId="17139" xr:uid="{00000000-0005-0000-0000-0000F3420000}"/>
    <cellStyle name="Normal 201 2 3 5 2 2" xfId="17140" xr:uid="{00000000-0005-0000-0000-0000F4420000}"/>
    <cellStyle name="Normal 201 2 3 5 3" xfId="17141" xr:uid="{00000000-0005-0000-0000-0000F5420000}"/>
    <cellStyle name="Normal 201 2 3 6" xfId="17142" xr:uid="{00000000-0005-0000-0000-0000F6420000}"/>
    <cellStyle name="Normal 201 2 4" xfId="17143" xr:uid="{00000000-0005-0000-0000-0000F7420000}"/>
    <cellStyle name="Normal 201 2 4 2" xfId="17144" xr:uid="{00000000-0005-0000-0000-0000F8420000}"/>
    <cellStyle name="Normal 201 2 4 2 2" xfId="17145" xr:uid="{00000000-0005-0000-0000-0000F9420000}"/>
    <cellStyle name="Normal 201 2 4 3" xfId="17146" xr:uid="{00000000-0005-0000-0000-0000FA420000}"/>
    <cellStyle name="Normal 201 2 5" xfId="17147" xr:uid="{00000000-0005-0000-0000-0000FB420000}"/>
    <cellStyle name="Normal 201 2 5 2" xfId="17148" xr:uid="{00000000-0005-0000-0000-0000FC420000}"/>
    <cellStyle name="Normal 201 2 5 2 2" xfId="17149" xr:uid="{00000000-0005-0000-0000-0000FD420000}"/>
    <cellStyle name="Normal 201 2 5 3" xfId="17150" xr:uid="{00000000-0005-0000-0000-0000FE420000}"/>
    <cellStyle name="Normal 201 2 6" xfId="17151" xr:uid="{00000000-0005-0000-0000-0000FF420000}"/>
    <cellStyle name="Normal 201 2 6 2" xfId="17152" xr:uid="{00000000-0005-0000-0000-000000430000}"/>
    <cellStyle name="Normal 201 2 6 2 2" xfId="17153" xr:uid="{00000000-0005-0000-0000-000001430000}"/>
    <cellStyle name="Normal 201 2 6 3" xfId="17154" xr:uid="{00000000-0005-0000-0000-000002430000}"/>
    <cellStyle name="Normal 201 2 7" xfId="17155" xr:uid="{00000000-0005-0000-0000-000003430000}"/>
    <cellStyle name="Normal 201 3" xfId="17156" xr:uid="{00000000-0005-0000-0000-000004430000}"/>
    <cellStyle name="Normal 201 3 2" xfId="17157" xr:uid="{00000000-0005-0000-0000-000005430000}"/>
    <cellStyle name="Normal 201 3 2 2" xfId="17158" xr:uid="{00000000-0005-0000-0000-000006430000}"/>
    <cellStyle name="Normal 201 3 3" xfId="17159" xr:uid="{00000000-0005-0000-0000-000007430000}"/>
    <cellStyle name="Normal 201 3 3 2" xfId="17160" xr:uid="{00000000-0005-0000-0000-000008430000}"/>
    <cellStyle name="Normal 201 3 3 2 2" xfId="17161" xr:uid="{00000000-0005-0000-0000-000009430000}"/>
    <cellStyle name="Normal 201 3 3 3" xfId="17162" xr:uid="{00000000-0005-0000-0000-00000A430000}"/>
    <cellStyle name="Normal 201 3 4" xfId="17163" xr:uid="{00000000-0005-0000-0000-00000B430000}"/>
    <cellStyle name="Normal 201 3 4 2" xfId="17164" xr:uid="{00000000-0005-0000-0000-00000C430000}"/>
    <cellStyle name="Normal 201 3 4 2 2" xfId="17165" xr:uid="{00000000-0005-0000-0000-00000D430000}"/>
    <cellStyle name="Normal 201 3 4 3" xfId="17166" xr:uid="{00000000-0005-0000-0000-00000E430000}"/>
    <cellStyle name="Normal 201 3 5" xfId="17167" xr:uid="{00000000-0005-0000-0000-00000F430000}"/>
    <cellStyle name="Normal 201 4" xfId="17168" xr:uid="{00000000-0005-0000-0000-000010430000}"/>
    <cellStyle name="Normal 201 4 2" xfId="17169" xr:uid="{00000000-0005-0000-0000-000011430000}"/>
    <cellStyle name="Normal 201 4 2 2" xfId="17170" xr:uid="{00000000-0005-0000-0000-000012430000}"/>
    <cellStyle name="Normal 201 4 2 2 2" xfId="17171" xr:uid="{00000000-0005-0000-0000-000013430000}"/>
    <cellStyle name="Normal 201 4 2 3" xfId="17172" xr:uid="{00000000-0005-0000-0000-000014430000}"/>
    <cellStyle name="Normal 201 4 2 3 2" xfId="17173" xr:uid="{00000000-0005-0000-0000-000015430000}"/>
    <cellStyle name="Normal 201 4 2 3 2 2" xfId="17174" xr:uid="{00000000-0005-0000-0000-000016430000}"/>
    <cellStyle name="Normal 201 4 2 3 3" xfId="17175" xr:uid="{00000000-0005-0000-0000-000017430000}"/>
    <cellStyle name="Normal 201 4 2 4" xfId="17176" xr:uid="{00000000-0005-0000-0000-000018430000}"/>
    <cellStyle name="Normal 201 4 3" xfId="17177" xr:uid="{00000000-0005-0000-0000-000019430000}"/>
    <cellStyle name="Normal 201 4 3 2" xfId="17178" xr:uid="{00000000-0005-0000-0000-00001A430000}"/>
    <cellStyle name="Normal 201 4 3 2 2" xfId="17179" xr:uid="{00000000-0005-0000-0000-00001B430000}"/>
    <cellStyle name="Normal 201 4 3 3" xfId="17180" xr:uid="{00000000-0005-0000-0000-00001C430000}"/>
    <cellStyle name="Normal 201 4 4" xfId="17181" xr:uid="{00000000-0005-0000-0000-00001D430000}"/>
    <cellStyle name="Normal 201 4 4 2" xfId="17182" xr:uid="{00000000-0005-0000-0000-00001E430000}"/>
    <cellStyle name="Normal 201 4 4 2 2" xfId="17183" xr:uid="{00000000-0005-0000-0000-00001F430000}"/>
    <cellStyle name="Normal 201 4 4 3" xfId="17184" xr:uid="{00000000-0005-0000-0000-000020430000}"/>
    <cellStyle name="Normal 201 4 5" xfId="17185" xr:uid="{00000000-0005-0000-0000-000021430000}"/>
    <cellStyle name="Normal 201 4 5 2" xfId="17186" xr:uid="{00000000-0005-0000-0000-000022430000}"/>
    <cellStyle name="Normal 201 4 5 2 2" xfId="17187" xr:uid="{00000000-0005-0000-0000-000023430000}"/>
    <cellStyle name="Normal 201 4 5 3" xfId="17188" xr:uid="{00000000-0005-0000-0000-000024430000}"/>
    <cellStyle name="Normal 201 4 6" xfId="17189" xr:uid="{00000000-0005-0000-0000-000025430000}"/>
    <cellStyle name="Normal 201 5" xfId="17190" xr:uid="{00000000-0005-0000-0000-000026430000}"/>
    <cellStyle name="Normal 201 5 2" xfId="17191" xr:uid="{00000000-0005-0000-0000-000027430000}"/>
    <cellStyle name="Normal 201 5 2 2" xfId="17192" xr:uid="{00000000-0005-0000-0000-000028430000}"/>
    <cellStyle name="Normal 201 5 3" xfId="17193" xr:uid="{00000000-0005-0000-0000-000029430000}"/>
    <cellStyle name="Normal 201 6" xfId="17194" xr:uid="{00000000-0005-0000-0000-00002A430000}"/>
    <cellStyle name="Normal 201 6 2" xfId="17195" xr:uid="{00000000-0005-0000-0000-00002B430000}"/>
    <cellStyle name="Normal 201 6 2 2" xfId="17196" xr:uid="{00000000-0005-0000-0000-00002C430000}"/>
    <cellStyle name="Normal 201 6 3" xfId="17197" xr:uid="{00000000-0005-0000-0000-00002D430000}"/>
    <cellStyle name="Normal 201 7" xfId="17198" xr:uid="{00000000-0005-0000-0000-00002E430000}"/>
    <cellStyle name="Normal 201 7 2" xfId="17199" xr:uid="{00000000-0005-0000-0000-00002F430000}"/>
    <cellStyle name="Normal 201 7 2 2" xfId="17200" xr:uid="{00000000-0005-0000-0000-000030430000}"/>
    <cellStyle name="Normal 201 7 3" xfId="17201" xr:uid="{00000000-0005-0000-0000-000031430000}"/>
    <cellStyle name="Normal 201 8" xfId="17202" xr:uid="{00000000-0005-0000-0000-000032430000}"/>
    <cellStyle name="Normal 202" xfId="17203" xr:uid="{00000000-0005-0000-0000-000033430000}"/>
    <cellStyle name="Normal 202 2" xfId="17204" xr:uid="{00000000-0005-0000-0000-000034430000}"/>
    <cellStyle name="Normal 202 2 2" xfId="17205" xr:uid="{00000000-0005-0000-0000-000035430000}"/>
    <cellStyle name="Normal 202 2 2 2" xfId="17206" xr:uid="{00000000-0005-0000-0000-000036430000}"/>
    <cellStyle name="Normal 202 2 2 2 2" xfId="17207" xr:uid="{00000000-0005-0000-0000-000037430000}"/>
    <cellStyle name="Normal 202 2 2 3" xfId="17208" xr:uid="{00000000-0005-0000-0000-000038430000}"/>
    <cellStyle name="Normal 202 2 2 3 2" xfId="17209" xr:uid="{00000000-0005-0000-0000-000039430000}"/>
    <cellStyle name="Normal 202 2 2 3 2 2" xfId="17210" xr:uid="{00000000-0005-0000-0000-00003A430000}"/>
    <cellStyle name="Normal 202 2 2 3 3" xfId="17211" xr:uid="{00000000-0005-0000-0000-00003B430000}"/>
    <cellStyle name="Normal 202 2 2 4" xfId="17212" xr:uid="{00000000-0005-0000-0000-00003C430000}"/>
    <cellStyle name="Normal 202 2 2 4 2" xfId="17213" xr:uid="{00000000-0005-0000-0000-00003D430000}"/>
    <cellStyle name="Normal 202 2 2 4 2 2" xfId="17214" xr:uid="{00000000-0005-0000-0000-00003E430000}"/>
    <cellStyle name="Normal 202 2 2 4 3" xfId="17215" xr:uid="{00000000-0005-0000-0000-00003F430000}"/>
    <cellStyle name="Normal 202 2 2 5" xfId="17216" xr:uid="{00000000-0005-0000-0000-000040430000}"/>
    <cellStyle name="Normal 202 2 3" xfId="17217" xr:uid="{00000000-0005-0000-0000-000041430000}"/>
    <cellStyle name="Normal 202 2 3 2" xfId="17218" xr:uid="{00000000-0005-0000-0000-000042430000}"/>
    <cellStyle name="Normal 202 2 3 2 2" xfId="17219" xr:uid="{00000000-0005-0000-0000-000043430000}"/>
    <cellStyle name="Normal 202 2 3 2 2 2" xfId="17220" xr:uid="{00000000-0005-0000-0000-000044430000}"/>
    <cellStyle name="Normal 202 2 3 2 3" xfId="17221" xr:uid="{00000000-0005-0000-0000-000045430000}"/>
    <cellStyle name="Normal 202 2 3 2 3 2" xfId="17222" xr:uid="{00000000-0005-0000-0000-000046430000}"/>
    <cellStyle name="Normal 202 2 3 2 3 2 2" xfId="17223" xr:uid="{00000000-0005-0000-0000-000047430000}"/>
    <cellStyle name="Normal 202 2 3 2 3 3" xfId="17224" xr:uid="{00000000-0005-0000-0000-000048430000}"/>
    <cellStyle name="Normal 202 2 3 2 4" xfId="17225" xr:uid="{00000000-0005-0000-0000-000049430000}"/>
    <cellStyle name="Normal 202 2 3 3" xfId="17226" xr:uid="{00000000-0005-0000-0000-00004A430000}"/>
    <cellStyle name="Normal 202 2 3 3 2" xfId="17227" xr:uid="{00000000-0005-0000-0000-00004B430000}"/>
    <cellStyle name="Normal 202 2 3 3 2 2" xfId="17228" xr:uid="{00000000-0005-0000-0000-00004C430000}"/>
    <cellStyle name="Normal 202 2 3 3 3" xfId="17229" xr:uid="{00000000-0005-0000-0000-00004D430000}"/>
    <cellStyle name="Normal 202 2 3 4" xfId="17230" xr:uid="{00000000-0005-0000-0000-00004E430000}"/>
    <cellStyle name="Normal 202 2 3 4 2" xfId="17231" xr:uid="{00000000-0005-0000-0000-00004F430000}"/>
    <cellStyle name="Normal 202 2 3 4 2 2" xfId="17232" xr:uid="{00000000-0005-0000-0000-000050430000}"/>
    <cellStyle name="Normal 202 2 3 4 3" xfId="17233" xr:uid="{00000000-0005-0000-0000-000051430000}"/>
    <cellStyle name="Normal 202 2 3 5" xfId="17234" xr:uid="{00000000-0005-0000-0000-000052430000}"/>
    <cellStyle name="Normal 202 2 3 5 2" xfId="17235" xr:uid="{00000000-0005-0000-0000-000053430000}"/>
    <cellStyle name="Normal 202 2 3 5 2 2" xfId="17236" xr:uid="{00000000-0005-0000-0000-000054430000}"/>
    <cellStyle name="Normal 202 2 3 5 3" xfId="17237" xr:uid="{00000000-0005-0000-0000-000055430000}"/>
    <cellStyle name="Normal 202 2 3 6" xfId="17238" xr:uid="{00000000-0005-0000-0000-000056430000}"/>
    <cellStyle name="Normal 202 2 4" xfId="17239" xr:uid="{00000000-0005-0000-0000-000057430000}"/>
    <cellStyle name="Normal 202 2 4 2" xfId="17240" xr:uid="{00000000-0005-0000-0000-000058430000}"/>
    <cellStyle name="Normal 202 2 4 2 2" xfId="17241" xr:uid="{00000000-0005-0000-0000-000059430000}"/>
    <cellStyle name="Normal 202 2 4 3" xfId="17242" xr:uid="{00000000-0005-0000-0000-00005A430000}"/>
    <cellStyle name="Normal 202 2 5" xfId="17243" xr:uid="{00000000-0005-0000-0000-00005B430000}"/>
    <cellStyle name="Normal 202 2 5 2" xfId="17244" xr:uid="{00000000-0005-0000-0000-00005C430000}"/>
    <cellStyle name="Normal 202 2 5 2 2" xfId="17245" xr:uid="{00000000-0005-0000-0000-00005D430000}"/>
    <cellStyle name="Normal 202 2 5 3" xfId="17246" xr:uid="{00000000-0005-0000-0000-00005E430000}"/>
    <cellStyle name="Normal 202 2 6" xfId="17247" xr:uid="{00000000-0005-0000-0000-00005F430000}"/>
    <cellStyle name="Normal 202 2 6 2" xfId="17248" xr:uid="{00000000-0005-0000-0000-000060430000}"/>
    <cellStyle name="Normal 202 2 6 2 2" xfId="17249" xr:uid="{00000000-0005-0000-0000-000061430000}"/>
    <cellStyle name="Normal 202 2 6 3" xfId="17250" xr:uid="{00000000-0005-0000-0000-000062430000}"/>
    <cellStyle name="Normal 202 2 7" xfId="17251" xr:uid="{00000000-0005-0000-0000-000063430000}"/>
    <cellStyle name="Normal 202 3" xfId="17252" xr:uid="{00000000-0005-0000-0000-000064430000}"/>
    <cellStyle name="Normal 202 3 2" xfId="17253" xr:uid="{00000000-0005-0000-0000-000065430000}"/>
    <cellStyle name="Normal 202 3 2 2" xfId="17254" xr:uid="{00000000-0005-0000-0000-000066430000}"/>
    <cellStyle name="Normal 202 3 3" xfId="17255" xr:uid="{00000000-0005-0000-0000-000067430000}"/>
    <cellStyle name="Normal 202 3 3 2" xfId="17256" xr:uid="{00000000-0005-0000-0000-000068430000}"/>
    <cellStyle name="Normal 202 3 3 2 2" xfId="17257" xr:uid="{00000000-0005-0000-0000-000069430000}"/>
    <cellStyle name="Normal 202 3 3 3" xfId="17258" xr:uid="{00000000-0005-0000-0000-00006A430000}"/>
    <cellStyle name="Normal 202 3 4" xfId="17259" xr:uid="{00000000-0005-0000-0000-00006B430000}"/>
    <cellStyle name="Normal 202 3 4 2" xfId="17260" xr:uid="{00000000-0005-0000-0000-00006C430000}"/>
    <cellStyle name="Normal 202 3 4 2 2" xfId="17261" xr:uid="{00000000-0005-0000-0000-00006D430000}"/>
    <cellStyle name="Normal 202 3 4 3" xfId="17262" xr:uid="{00000000-0005-0000-0000-00006E430000}"/>
    <cellStyle name="Normal 202 3 5" xfId="17263" xr:uid="{00000000-0005-0000-0000-00006F430000}"/>
    <cellStyle name="Normal 202 4" xfId="17264" xr:uid="{00000000-0005-0000-0000-000070430000}"/>
    <cellStyle name="Normal 202 4 2" xfId="17265" xr:uid="{00000000-0005-0000-0000-000071430000}"/>
    <cellStyle name="Normal 202 4 2 2" xfId="17266" xr:uid="{00000000-0005-0000-0000-000072430000}"/>
    <cellStyle name="Normal 202 4 2 2 2" xfId="17267" xr:uid="{00000000-0005-0000-0000-000073430000}"/>
    <cellStyle name="Normal 202 4 2 3" xfId="17268" xr:uid="{00000000-0005-0000-0000-000074430000}"/>
    <cellStyle name="Normal 202 4 2 3 2" xfId="17269" xr:uid="{00000000-0005-0000-0000-000075430000}"/>
    <cellStyle name="Normal 202 4 2 3 2 2" xfId="17270" xr:uid="{00000000-0005-0000-0000-000076430000}"/>
    <cellStyle name="Normal 202 4 2 3 3" xfId="17271" xr:uid="{00000000-0005-0000-0000-000077430000}"/>
    <cellStyle name="Normal 202 4 2 4" xfId="17272" xr:uid="{00000000-0005-0000-0000-000078430000}"/>
    <cellStyle name="Normal 202 4 3" xfId="17273" xr:uid="{00000000-0005-0000-0000-000079430000}"/>
    <cellStyle name="Normal 202 4 3 2" xfId="17274" xr:uid="{00000000-0005-0000-0000-00007A430000}"/>
    <cellStyle name="Normal 202 4 3 2 2" xfId="17275" xr:uid="{00000000-0005-0000-0000-00007B430000}"/>
    <cellStyle name="Normal 202 4 3 3" xfId="17276" xr:uid="{00000000-0005-0000-0000-00007C430000}"/>
    <cellStyle name="Normal 202 4 4" xfId="17277" xr:uid="{00000000-0005-0000-0000-00007D430000}"/>
    <cellStyle name="Normal 202 4 4 2" xfId="17278" xr:uid="{00000000-0005-0000-0000-00007E430000}"/>
    <cellStyle name="Normal 202 4 4 2 2" xfId="17279" xr:uid="{00000000-0005-0000-0000-00007F430000}"/>
    <cellStyle name="Normal 202 4 4 3" xfId="17280" xr:uid="{00000000-0005-0000-0000-000080430000}"/>
    <cellStyle name="Normal 202 4 5" xfId="17281" xr:uid="{00000000-0005-0000-0000-000081430000}"/>
    <cellStyle name="Normal 202 4 5 2" xfId="17282" xr:uid="{00000000-0005-0000-0000-000082430000}"/>
    <cellStyle name="Normal 202 4 5 2 2" xfId="17283" xr:uid="{00000000-0005-0000-0000-000083430000}"/>
    <cellStyle name="Normal 202 4 5 3" xfId="17284" xr:uid="{00000000-0005-0000-0000-000084430000}"/>
    <cellStyle name="Normal 202 4 6" xfId="17285" xr:uid="{00000000-0005-0000-0000-000085430000}"/>
    <cellStyle name="Normal 202 5" xfId="17286" xr:uid="{00000000-0005-0000-0000-000086430000}"/>
    <cellStyle name="Normal 202 5 2" xfId="17287" xr:uid="{00000000-0005-0000-0000-000087430000}"/>
    <cellStyle name="Normal 202 5 2 2" xfId="17288" xr:uid="{00000000-0005-0000-0000-000088430000}"/>
    <cellStyle name="Normal 202 5 3" xfId="17289" xr:uid="{00000000-0005-0000-0000-000089430000}"/>
    <cellStyle name="Normal 202 6" xfId="17290" xr:uid="{00000000-0005-0000-0000-00008A430000}"/>
    <cellStyle name="Normal 202 6 2" xfId="17291" xr:uid="{00000000-0005-0000-0000-00008B430000}"/>
    <cellStyle name="Normal 202 6 2 2" xfId="17292" xr:uid="{00000000-0005-0000-0000-00008C430000}"/>
    <cellStyle name="Normal 202 6 3" xfId="17293" xr:uid="{00000000-0005-0000-0000-00008D430000}"/>
    <cellStyle name="Normal 202 7" xfId="17294" xr:uid="{00000000-0005-0000-0000-00008E430000}"/>
    <cellStyle name="Normal 202 7 2" xfId="17295" xr:uid="{00000000-0005-0000-0000-00008F430000}"/>
    <cellStyle name="Normal 202 7 2 2" xfId="17296" xr:uid="{00000000-0005-0000-0000-000090430000}"/>
    <cellStyle name="Normal 202 7 3" xfId="17297" xr:uid="{00000000-0005-0000-0000-000091430000}"/>
    <cellStyle name="Normal 202 8" xfId="17298" xr:uid="{00000000-0005-0000-0000-000092430000}"/>
    <cellStyle name="Normal 203" xfId="17299" xr:uid="{00000000-0005-0000-0000-000093430000}"/>
    <cellStyle name="Normal 203 2" xfId="17300" xr:uid="{00000000-0005-0000-0000-000094430000}"/>
    <cellStyle name="Normal 203 2 2" xfId="17301" xr:uid="{00000000-0005-0000-0000-000095430000}"/>
    <cellStyle name="Normal 203 2 2 2" xfId="17302" xr:uid="{00000000-0005-0000-0000-000096430000}"/>
    <cellStyle name="Normal 203 2 2 2 2" xfId="17303" xr:uid="{00000000-0005-0000-0000-000097430000}"/>
    <cellStyle name="Normal 203 2 2 3" xfId="17304" xr:uid="{00000000-0005-0000-0000-000098430000}"/>
    <cellStyle name="Normal 203 2 2 3 2" xfId="17305" xr:uid="{00000000-0005-0000-0000-000099430000}"/>
    <cellStyle name="Normal 203 2 2 3 2 2" xfId="17306" xr:uid="{00000000-0005-0000-0000-00009A430000}"/>
    <cellStyle name="Normal 203 2 2 3 3" xfId="17307" xr:uid="{00000000-0005-0000-0000-00009B430000}"/>
    <cellStyle name="Normal 203 2 2 4" xfId="17308" xr:uid="{00000000-0005-0000-0000-00009C430000}"/>
    <cellStyle name="Normal 203 2 2 4 2" xfId="17309" xr:uid="{00000000-0005-0000-0000-00009D430000}"/>
    <cellStyle name="Normal 203 2 2 4 2 2" xfId="17310" xr:uid="{00000000-0005-0000-0000-00009E430000}"/>
    <cellStyle name="Normal 203 2 2 4 3" xfId="17311" xr:uid="{00000000-0005-0000-0000-00009F430000}"/>
    <cellStyle name="Normal 203 2 2 5" xfId="17312" xr:uid="{00000000-0005-0000-0000-0000A0430000}"/>
    <cellStyle name="Normal 203 2 3" xfId="17313" xr:uid="{00000000-0005-0000-0000-0000A1430000}"/>
    <cellStyle name="Normal 203 2 3 2" xfId="17314" xr:uid="{00000000-0005-0000-0000-0000A2430000}"/>
    <cellStyle name="Normal 203 2 3 2 2" xfId="17315" xr:uid="{00000000-0005-0000-0000-0000A3430000}"/>
    <cellStyle name="Normal 203 2 3 2 2 2" xfId="17316" xr:uid="{00000000-0005-0000-0000-0000A4430000}"/>
    <cellStyle name="Normal 203 2 3 2 3" xfId="17317" xr:uid="{00000000-0005-0000-0000-0000A5430000}"/>
    <cellStyle name="Normal 203 2 3 2 3 2" xfId="17318" xr:uid="{00000000-0005-0000-0000-0000A6430000}"/>
    <cellStyle name="Normal 203 2 3 2 3 2 2" xfId="17319" xr:uid="{00000000-0005-0000-0000-0000A7430000}"/>
    <cellStyle name="Normal 203 2 3 2 3 3" xfId="17320" xr:uid="{00000000-0005-0000-0000-0000A8430000}"/>
    <cellStyle name="Normal 203 2 3 2 4" xfId="17321" xr:uid="{00000000-0005-0000-0000-0000A9430000}"/>
    <cellStyle name="Normal 203 2 3 3" xfId="17322" xr:uid="{00000000-0005-0000-0000-0000AA430000}"/>
    <cellStyle name="Normal 203 2 3 3 2" xfId="17323" xr:uid="{00000000-0005-0000-0000-0000AB430000}"/>
    <cellStyle name="Normal 203 2 3 3 2 2" xfId="17324" xr:uid="{00000000-0005-0000-0000-0000AC430000}"/>
    <cellStyle name="Normal 203 2 3 3 3" xfId="17325" xr:uid="{00000000-0005-0000-0000-0000AD430000}"/>
    <cellStyle name="Normal 203 2 3 4" xfId="17326" xr:uid="{00000000-0005-0000-0000-0000AE430000}"/>
    <cellStyle name="Normal 203 2 3 4 2" xfId="17327" xr:uid="{00000000-0005-0000-0000-0000AF430000}"/>
    <cellStyle name="Normal 203 2 3 4 2 2" xfId="17328" xr:uid="{00000000-0005-0000-0000-0000B0430000}"/>
    <cellStyle name="Normal 203 2 3 4 3" xfId="17329" xr:uid="{00000000-0005-0000-0000-0000B1430000}"/>
    <cellStyle name="Normal 203 2 3 5" xfId="17330" xr:uid="{00000000-0005-0000-0000-0000B2430000}"/>
    <cellStyle name="Normal 203 2 3 5 2" xfId="17331" xr:uid="{00000000-0005-0000-0000-0000B3430000}"/>
    <cellStyle name="Normal 203 2 3 5 2 2" xfId="17332" xr:uid="{00000000-0005-0000-0000-0000B4430000}"/>
    <cellStyle name="Normal 203 2 3 5 3" xfId="17333" xr:uid="{00000000-0005-0000-0000-0000B5430000}"/>
    <cellStyle name="Normal 203 2 3 6" xfId="17334" xr:uid="{00000000-0005-0000-0000-0000B6430000}"/>
    <cellStyle name="Normal 203 2 4" xfId="17335" xr:uid="{00000000-0005-0000-0000-0000B7430000}"/>
    <cellStyle name="Normal 203 2 4 2" xfId="17336" xr:uid="{00000000-0005-0000-0000-0000B8430000}"/>
    <cellStyle name="Normal 203 2 4 2 2" xfId="17337" xr:uid="{00000000-0005-0000-0000-0000B9430000}"/>
    <cellStyle name="Normal 203 2 4 3" xfId="17338" xr:uid="{00000000-0005-0000-0000-0000BA430000}"/>
    <cellStyle name="Normal 203 2 5" xfId="17339" xr:uid="{00000000-0005-0000-0000-0000BB430000}"/>
    <cellStyle name="Normal 203 2 5 2" xfId="17340" xr:uid="{00000000-0005-0000-0000-0000BC430000}"/>
    <cellStyle name="Normal 203 2 5 2 2" xfId="17341" xr:uid="{00000000-0005-0000-0000-0000BD430000}"/>
    <cellStyle name="Normal 203 2 5 3" xfId="17342" xr:uid="{00000000-0005-0000-0000-0000BE430000}"/>
    <cellStyle name="Normal 203 2 6" xfId="17343" xr:uid="{00000000-0005-0000-0000-0000BF430000}"/>
    <cellStyle name="Normal 203 2 6 2" xfId="17344" xr:uid="{00000000-0005-0000-0000-0000C0430000}"/>
    <cellStyle name="Normal 203 2 6 2 2" xfId="17345" xr:uid="{00000000-0005-0000-0000-0000C1430000}"/>
    <cellStyle name="Normal 203 2 6 3" xfId="17346" xr:uid="{00000000-0005-0000-0000-0000C2430000}"/>
    <cellStyle name="Normal 203 2 7" xfId="17347" xr:uid="{00000000-0005-0000-0000-0000C3430000}"/>
    <cellStyle name="Normal 203 3" xfId="17348" xr:uid="{00000000-0005-0000-0000-0000C4430000}"/>
    <cellStyle name="Normal 203 3 2" xfId="17349" xr:uid="{00000000-0005-0000-0000-0000C5430000}"/>
    <cellStyle name="Normal 203 3 2 2" xfId="17350" xr:uid="{00000000-0005-0000-0000-0000C6430000}"/>
    <cellStyle name="Normal 203 3 3" xfId="17351" xr:uid="{00000000-0005-0000-0000-0000C7430000}"/>
    <cellStyle name="Normal 203 3 3 2" xfId="17352" xr:uid="{00000000-0005-0000-0000-0000C8430000}"/>
    <cellStyle name="Normal 203 3 3 2 2" xfId="17353" xr:uid="{00000000-0005-0000-0000-0000C9430000}"/>
    <cellStyle name="Normal 203 3 3 3" xfId="17354" xr:uid="{00000000-0005-0000-0000-0000CA430000}"/>
    <cellStyle name="Normal 203 3 4" xfId="17355" xr:uid="{00000000-0005-0000-0000-0000CB430000}"/>
    <cellStyle name="Normal 203 3 4 2" xfId="17356" xr:uid="{00000000-0005-0000-0000-0000CC430000}"/>
    <cellStyle name="Normal 203 3 4 2 2" xfId="17357" xr:uid="{00000000-0005-0000-0000-0000CD430000}"/>
    <cellStyle name="Normal 203 3 4 3" xfId="17358" xr:uid="{00000000-0005-0000-0000-0000CE430000}"/>
    <cellStyle name="Normal 203 3 5" xfId="17359" xr:uid="{00000000-0005-0000-0000-0000CF430000}"/>
    <cellStyle name="Normal 203 4" xfId="17360" xr:uid="{00000000-0005-0000-0000-0000D0430000}"/>
    <cellStyle name="Normal 203 4 2" xfId="17361" xr:uid="{00000000-0005-0000-0000-0000D1430000}"/>
    <cellStyle name="Normal 203 4 2 2" xfId="17362" xr:uid="{00000000-0005-0000-0000-0000D2430000}"/>
    <cellStyle name="Normal 203 4 2 2 2" xfId="17363" xr:uid="{00000000-0005-0000-0000-0000D3430000}"/>
    <cellStyle name="Normal 203 4 2 3" xfId="17364" xr:uid="{00000000-0005-0000-0000-0000D4430000}"/>
    <cellStyle name="Normal 203 4 2 3 2" xfId="17365" xr:uid="{00000000-0005-0000-0000-0000D5430000}"/>
    <cellStyle name="Normal 203 4 2 3 2 2" xfId="17366" xr:uid="{00000000-0005-0000-0000-0000D6430000}"/>
    <cellStyle name="Normal 203 4 2 3 3" xfId="17367" xr:uid="{00000000-0005-0000-0000-0000D7430000}"/>
    <cellStyle name="Normal 203 4 2 4" xfId="17368" xr:uid="{00000000-0005-0000-0000-0000D8430000}"/>
    <cellStyle name="Normal 203 4 3" xfId="17369" xr:uid="{00000000-0005-0000-0000-0000D9430000}"/>
    <cellStyle name="Normal 203 4 3 2" xfId="17370" xr:uid="{00000000-0005-0000-0000-0000DA430000}"/>
    <cellStyle name="Normal 203 4 3 2 2" xfId="17371" xr:uid="{00000000-0005-0000-0000-0000DB430000}"/>
    <cellStyle name="Normal 203 4 3 3" xfId="17372" xr:uid="{00000000-0005-0000-0000-0000DC430000}"/>
    <cellStyle name="Normal 203 4 4" xfId="17373" xr:uid="{00000000-0005-0000-0000-0000DD430000}"/>
    <cellStyle name="Normal 203 4 4 2" xfId="17374" xr:uid="{00000000-0005-0000-0000-0000DE430000}"/>
    <cellStyle name="Normal 203 4 4 2 2" xfId="17375" xr:uid="{00000000-0005-0000-0000-0000DF430000}"/>
    <cellStyle name="Normal 203 4 4 3" xfId="17376" xr:uid="{00000000-0005-0000-0000-0000E0430000}"/>
    <cellStyle name="Normal 203 4 5" xfId="17377" xr:uid="{00000000-0005-0000-0000-0000E1430000}"/>
    <cellStyle name="Normal 203 4 5 2" xfId="17378" xr:uid="{00000000-0005-0000-0000-0000E2430000}"/>
    <cellStyle name="Normal 203 4 5 2 2" xfId="17379" xr:uid="{00000000-0005-0000-0000-0000E3430000}"/>
    <cellStyle name="Normal 203 4 5 3" xfId="17380" xr:uid="{00000000-0005-0000-0000-0000E4430000}"/>
    <cellStyle name="Normal 203 4 6" xfId="17381" xr:uid="{00000000-0005-0000-0000-0000E5430000}"/>
    <cellStyle name="Normal 203 5" xfId="17382" xr:uid="{00000000-0005-0000-0000-0000E6430000}"/>
    <cellStyle name="Normal 203 5 2" xfId="17383" xr:uid="{00000000-0005-0000-0000-0000E7430000}"/>
    <cellStyle name="Normal 203 5 2 2" xfId="17384" xr:uid="{00000000-0005-0000-0000-0000E8430000}"/>
    <cellStyle name="Normal 203 5 3" xfId="17385" xr:uid="{00000000-0005-0000-0000-0000E9430000}"/>
    <cellStyle name="Normal 203 6" xfId="17386" xr:uid="{00000000-0005-0000-0000-0000EA430000}"/>
    <cellStyle name="Normal 203 6 2" xfId="17387" xr:uid="{00000000-0005-0000-0000-0000EB430000}"/>
    <cellStyle name="Normal 203 6 2 2" xfId="17388" xr:uid="{00000000-0005-0000-0000-0000EC430000}"/>
    <cellStyle name="Normal 203 6 3" xfId="17389" xr:uid="{00000000-0005-0000-0000-0000ED430000}"/>
    <cellStyle name="Normal 203 7" xfId="17390" xr:uid="{00000000-0005-0000-0000-0000EE430000}"/>
    <cellStyle name="Normal 203 7 2" xfId="17391" xr:uid="{00000000-0005-0000-0000-0000EF430000}"/>
    <cellStyle name="Normal 203 7 2 2" xfId="17392" xr:uid="{00000000-0005-0000-0000-0000F0430000}"/>
    <cellStyle name="Normal 203 7 3" xfId="17393" xr:uid="{00000000-0005-0000-0000-0000F1430000}"/>
    <cellStyle name="Normal 203 8" xfId="17394" xr:uid="{00000000-0005-0000-0000-0000F2430000}"/>
    <cellStyle name="Normal 204" xfId="17395" xr:uid="{00000000-0005-0000-0000-0000F3430000}"/>
    <cellStyle name="Normal 204 2" xfId="17396" xr:uid="{00000000-0005-0000-0000-0000F4430000}"/>
    <cellStyle name="Normal 204 2 2" xfId="17397" xr:uid="{00000000-0005-0000-0000-0000F5430000}"/>
    <cellStyle name="Normal 204 2 2 2" xfId="17398" xr:uid="{00000000-0005-0000-0000-0000F6430000}"/>
    <cellStyle name="Normal 204 2 3" xfId="17399" xr:uid="{00000000-0005-0000-0000-0000F7430000}"/>
    <cellStyle name="Normal 204 2 3 2" xfId="17400" xr:uid="{00000000-0005-0000-0000-0000F8430000}"/>
    <cellStyle name="Normal 204 2 3 2 2" xfId="17401" xr:uid="{00000000-0005-0000-0000-0000F9430000}"/>
    <cellStyle name="Normal 204 2 3 3" xfId="17402" xr:uid="{00000000-0005-0000-0000-0000FA430000}"/>
    <cellStyle name="Normal 204 2 4" xfId="17403" xr:uid="{00000000-0005-0000-0000-0000FB430000}"/>
    <cellStyle name="Normal 204 2 4 2" xfId="17404" xr:uid="{00000000-0005-0000-0000-0000FC430000}"/>
    <cellStyle name="Normal 204 2 4 2 2" xfId="17405" xr:uid="{00000000-0005-0000-0000-0000FD430000}"/>
    <cellStyle name="Normal 204 2 4 3" xfId="17406" xr:uid="{00000000-0005-0000-0000-0000FE430000}"/>
    <cellStyle name="Normal 204 2 5" xfId="17407" xr:uid="{00000000-0005-0000-0000-0000FF430000}"/>
    <cellStyle name="Normal 204 3" xfId="17408" xr:uid="{00000000-0005-0000-0000-000000440000}"/>
    <cellStyle name="Normal 204 3 2" xfId="17409" xr:uid="{00000000-0005-0000-0000-000001440000}"/>
    <cellStyle name="Normal 204 3 2 2" xfId="17410" xr:uid="{00000000-0005-0000-0000-000002440000}"/>
    <cellStyle name="Normal 204 3 2 2 2" xfId="17411" xr:uid="{00000000-0005-0000-0000-000003440000}"/>
    <cellStyle name="Normal 204 3 2 3" xfId="17412" xr:uid="{00000000-0005-0000-0000-000004440000}"/>
    <cellStyle name="Normal 204 3 2 3 2" xfId="17413" xr:uid="{00000000-0005-0000-0000-000005440000}"/>
    <cellStyle name="Normal 204 3 2 3 2 2" xfId="17414" xr:uid="{00000000-0005-0000-0000-000006440000}"/>
    <cellStyle name="Normal 204 3 2 3 3" xfId="17415" xr:uid="{00000000-0005-0000-0000-000007440000}"/>
    <cellStyle name="Normal 204 3 2 4" xfId="17416" xr:uid="{00000000-0005-0000-0000-000008440000}"/>
    <cellStyle name="Normal 204 3 3" xfId="17417" xr:uid="{00000000-0005-0000-0000-000009440000}"/>
    <cellStyle name="Normal 204 3 3 2" xfId="17418" xr:uid="{00000000-0005-0000-0000-00000A440000}"/>
    <cellStyle name="Normal 204 3 3 2 2" xfId="17419" xr:uid="{00000000-0005-0000-0000-00000B440000}"/>
    <cellStyle name="Normal 204 3 3 3" xfId="17420" xr:uid="{00000000-0005-0000-0000-00000C440000}"/>
    <cellStyle name="Normal 204 3 4" xfId="17421" xr:uid="{00000000-0005-0000-0000-00000D440000}"/>
    <cellStyle name="Normal 204 3 4 2" xfId="17422" xr:uid="{00000000-0005-0000-0000-00000E440000}"/>
    <cellStyle name="Normal 204 3 4 2 2" xfId="17423" xr:uid="{00000000-0005-0000-0000-00000F440000}"/>
    <cellStyle name="Normal 204 3 4 3" xfId="17424" xr:uid="{00000000-0005-0000-0000-000010440000}"/>
    <cellStyle name="Normal 204 3 5" xfId="17425" xr:uid="{00000000-0005-0000-0000-000011440000}"/>
    <cellStyle name="Normal 204 3 5 2" xfId="17426" xr:uid="{00000000-0005-0000-0000-000012440000}"/>
    <cellStyle name="Normal 204 3 5 2 2" xfId="17427" xr:uid="{00000000-0005-0000-0000-000013440000}"/>
    <cellStyle name="Normal 204 3 5 3" xfId="17428" xr:uid="{00000000-0005-0000-0000-000014440000}"/>
    <cellStyle name="Normal 204 3 6" xfId="17429" xr:uid="{00000000-0005-0000-0000-000015440000}"/>
    <cellStyle name="Normal 204 4" xfId="17430" xr:uid="{00000000-0005-0000-0000-000016440000}"/>
    <cellStyle name="Normal 204 4 2" xfId="17431" xr:uid="{00000000-0005-0000-0000-000017440000}"/>
    <cellStyle name="Normal 204 4 2 2" xfId="17432" xr:uid="{00000000-0005-0000-0000-000018440000}"/>
    <cellStyle name="Normal 204 4 3" xfId="17433" xr:uid="{00000000-0005-0000-0000-000019440000}"/>
    <cellStyle name="Normal 204 5" xfId="17434" xr:uid="{00000000-0005-0000-0000-00001A440000}"/>
    <cellStyle name="Normal 204 5 2" xfId="17435" xr:uid="{00000000-0005-0000-0000-00001B440000}"/>
    <cellStyle name="Normal 204 5 2 2" xfId="17436" xr:uid="{00000000-0005-0000-0000-00001C440000}"/>
    <cellStyle name="Normal 204 5 3" xfId="17437" xr:uid="{00000000-0005-0000-0000-00001D440000}"/>
    <cellStyle name="Normal 204 6" xfId="17438" xr:uid="{00000000-0005-0000-0000-00001E440000}"/>
    <cellStyle name="Normal 204 6 2" xfId="17439" xr:uid="{00000000-0005-0000-0000-00001F440000}"/>
    <cellStyle name="Normal 204 6 2 2" xfId="17440" xr:uid="{00000000-0005-0000-0000-000020440000}"/>
    <cellStyle name="Normal 204 6 3" xfId="17441" xr:uid="{00000000-0005-0000-0000-000021440000}"/>
    <cellStyle name="Normal 204 7" xfId="17442" xr:uid="{00000000-0005-0000-0000-000022440000}"/>
    <cellStyle name="Normal 205" xfId="17443" xr:uid="{00000000-0005-0000-0000-000023440000}"/>
    <cellStyle name="Normal 205 2" xfId="17444" xr:uid="{00000000-0005-0000-0000-000024440000}"/>
    <cellStyle name="Normal 205 2 2" xfId="17445" xr:uid="{00000000-0005-0000-0000-000025440000}"/>
    <cellStyle name="Normal 205 2 2 2" xfId="17446" xr:uid="{00000000-0005-0000-0000-000026440000}"/>
    <cellStyle name="Normal 205 2 3" xfId="17447" xr:uid="{00000000-0005-0000-0000-000027440000}"/>
    <cellStyle name="Normal 205 2 3 2" xfId="17448" xr:uid="{00000000-0005-0000-0000-000028440000}"/>
    <cellStyle name="Normal 205 2 3 2 2" xfId="17449" xr:uid="{00000000-0005-0000-0000-000029440000}"/>
    <cellStyle name="Normal 205 2 3 3" xfId="17450" xr:uid="{00000000-0005-0000-0000-00002A440000}"/>
    <cellStyle name="Normal 205 2 4" xfId="17451" xr:uid="{00000000-0005-0000-0000-00002B440000}"/>
    <cellStyle name="Normal 205 2 4 2" xfId="17452" xr:uid="{00000000-0005-0000-0000-00002C440000}"/>
    <cellStyle name="Normal 205 2 4 2 2" xfId="17453" xr:uid="{00000000-0005-0000-0000-00002D440000}"/>
    <cellStyle name="Normal 205 2 4 3" xfId="17454" xr:uid="{00000000-0005-0000-0000-00002E440000}"/>
    <cellStyle name="Normal 205 2 5" xfId="17455" xr:uid="{00000000-0005-0000-0000-00002F440000}"/>
    <cellStyle name="Normal 205 3" xfId="17456" xr:uid="{00000000-0005-0000-0000-000030440000}"/>
    <cellStyle name="Normal 205 3 2" xfId="17457" xr:uid="{00000000-0005-0000-0000-000031440000}"/>
    <cellStyle name="Normal 205 3 2 2" xfId="17458" xr:uid="{00000000-0005-0000-0000-000032440000}"/>
    <cellStyle name="Normal 205 3 2 2 2" xfId="17459" xr:uid="{00000000-0005-0000-0000-000033440000}"/>
    <cellStyle name="Normal 205 3 2 3" xfId="17460" xr:uid="{00000000-0005-0000-0000-000034440000}"/>
    <cellStyle name="Normal 205 3 2 3 2" xfId="17461" xr:uid="{00000000-0005-0000-0000-000035440000}"/>
    <cellStyle name="Normal 205 3 2 3 2 2" xfId="17462" xr:uid="{00000000-0005-0000-0000-000036440000}"/>
    <cellStyle name="Normal 205 3 2 3 3" xfId="17463" xr:uid="{00000000-0005-0000-0000-000037440000}"/>
    <cellStyle name="Normal 205 3 2 4" xfId="17464" xr:uid="{00000000-0005-0000-0000-000038440000}"/>
    <cellStyle name="Normal 205 3 3" xfId="17465" xr:uid="{00000000-0005-0000-0000-000039440000}"/>
    <cellStyle name="Normal 205 3 3 2" xfId="17466" xr:uid="{00000000-0005-0000-0000-00003A440000}"/>
    <cellStyle name="Normal 205 3 3 2 2" xfId="17467" xr:uid="{00000000-0005-0000-0000-00003B440000}"/>
    <cellStyle name="Normal 205 3 3 3" xfId="17468" xr:uid="{00000000-0005-0000-0000-00003C440000}"/>
    <cellStyle name="Normal 205 3 4" xfId="17469" xr:uid="{00000000-0005-0000-0000-00003D440000}"/>
    <cellStyle name="Normal 205 3 4 2" xfId="17470" xr:uid="{00000000-0005-0000-0000-00003E440000}"/>
    <cellStyle name="Normal 205 3 4 2 2" xfId="17471" xr:uid="{00000000-0005-0000-0000-00003F440000}"/>
    <cellStyle name="Normal 205 3 4 3" xfId="17472" xr:uid="{00000000-0005-0000-0000-000040440000}"/>
    <cellStyle name="Normal 205 3 5" xfId="17473" xr:uid="{00000000-0005-0000-0000-000041440000}"/>
    <cellStyle name="Normal 205 3 5 2" xfId="17474" xr:uid="{00000000-0005-0000-0000-000042440000}"/>
    <cellStyle name="Normal 205 3 5 2 2" xfId="17475" xr:uid="{00000000-0005-0000-0000-000043440000}"/>
    <cellStyle name="Normal 205 3 5 3" xfId="17476" xr:uid="{00000000-0005-0000-0000-000044440000}"/>
    <cellStyle name="Normal 205 3 6" xfId="17477" xr:uid="{00000000-0005-0000-0000-000045440000}"/>
    <cellStyle name="Normal 205 4" xfId="17478" xr:uid="{00000000-0005-0000-0000-000046440000}"/>
    <cellStyle name="Normal 205 4 2" xfId="17479" xr:uid="{00000000-0005-0000-0000-000047440000}"/>
    <cellStyle name="Normal 205 4 2 2" xfId="17480" xr:uid="{00000000-0005-0000-0000-000048440000}"/>
    <cellStyle name="Normal 205 4 3" xfId="17481" xr:uid="{00000000-0005-0000-0000-000049440000}"/>
    <cellStyle name="Normal 205 5" xfId="17482" xr:uid="{00000000-0005-0000-0000-00004A440000}"/>
    <cellStyle name="Normal 205 5 2" xfId="17483" xr:uid="{00000000-0005-0000-0000-00004B440000}"/>
    <cellStyle name="Normal 205 5 2 2" xfId="17484" xr:uid="{00000000-0005-0000-0000-00004C440000}"/>
    <cellStyle name="Normal 205 5 3" xfId="17485" xr:uid="{00000000-0005-0000-0000-00004D440000}"/>
    <cellStyle name="Normal 205 6" xfId="17486" xr:uid="{00000000-0005-0000-0000-00004E440000}"/>
    <cellStyle name="Normal 205 6 2" xfId="17487" xr:uid="{00000000-0005-0000-0000-00004F440000}"/>
    <cellStyle name="Normal 205 6 2 2" xfId="17488" xr:uid="{00000000-0005-0000-0000-000050440000}"/>
    <cellStyle name="Normal 205 6 3" xfId="17489" xr:uid="{00000000-0005-0000-0000-000051440000}"/>
    <cellStyle name="Normal 205 7" xfId="17490" xr:uid="{00000000-0005-0000-0000-000052440000}"/>
    <cellStyle name="Normal 206" xfId="17491" xr:uid="{00000000-0005-0000-0000-000053440000}"/>
    <cellStyle name="Normal 206 2" xfId="17492" xr:uid="{00000000-0005-0000-0000-000054440000}"/>
    <cellStyle name="Normal 206 2 2" xfId="17493" xr:uid="{00000000-0005-0000-0000-000055440000}"/>
    <cellStyle name="Normal 206 2 2 2" xfId="17494" xr:uid="{00000000-0005-0000-0000-000056440000}"/>
    <cellStyle name="Normal 206 2 3" xfId="17495" xr:uid="{00000000-0005-0000-0000-000057440000}"/>
    <cellStyle name="Normal 206 2 3 2" xfId="17496" xr:uid="{00000000-0005-0000-0000-000058440000}"/>
    <cellStyle name="Normal 206 2 3 2 2" xfId="17497" xr:uid="{00000000-0005-0000-0000-000059440000}"/>
    <cellStyle name="Normal 206 2 3 3" xfId="17498" xr:uid="{00000000-0005-0000-0000-00005A440000}"/>
    <cellStyle name="Normal 206 2 4" xfId="17499" xr:uid="{00000000-0005-0000-0000-00005B440000}"/>
    <cellStyle name="Normal 206 2 4 2" xfId="17500" xr:uid="{00000000-0005-0000-0000-00005C440000}"/>
    <cellStyle name="Normal 206 2 4 2 2" xfId="17501" xr:uid="{00000000-0005-0000-0000-00005D440000}"/>
    <cellStyle name="Normal 206 2 4 3" xfId="17502" xr:uid="{00000000-0005-0000-0000-00005E440000}"/>
    <cellStyle name="Normal 206 2 5" xfId="17503" xr:uid="{00000000-0005-0000-0000-00005F440000}"/>
    <cellStyle name="Normal 206 3" xfId="17504" xr:uid="{00000000-0005-0000-0000-000060440000}"/>
    <cellStyle name="Normal 206 3 2" xfId="17505" xr:uid="{00000000-0005-0000-0000-000061440000}"/>
    <cellStyle name="Normal 206 3 2 2" xfId="17506" xr:uid="{00000000-0005-0000-0000-000062440000}"/>
    <cellStyle name="Normal 206 3 2 2 2" xfId="17507" xr:uid="{00000000-0005-0000-0000-000063440000}"/>
    <cellStyle name="Normal 206 3 2 3" xfId="17508" xr:uid="{00000000-0005-0000-0000-000064440000}"/>
    <cellStyle name="Normal 206 3 2 3 2" xfId="17509" xr:uid="{00000000-0005-0000-0000-000065440000}"/>
    <cellStyle name="Normal 206 3 2 3 2 2" xfId="17510" xr:uid="{00000000-0005-0000-0000-000066440000}"/>
    <cellStyle name="Normal 206 3 2 3 3" xfId="17511" xr:uid="{00000000-0005-0000-0000-000067440000}"/>
    <cellStyle name="Normal 206 3 2 4" xfId="17512" xr:uid="{00000000-0005-0000-0000-000068440000}"/>
    <cellStyle name="Normal 206 3 3" xfId="17513" xr:uid="{00000000-0005-0000-0000-000069440000}"/>
    <cellStyle name="Normal 206 3 3 2" xfId="17514" xr:uid="{00000000-0005-0000-0000-00006A440000}"/>
    <cellStyle name="Normal 206 3 3 2 2" xfId="17515" xr:uid="{00000000-0005-0000-0000-00006B440000}"/>
    <cellStyle name="Normal 206 3 3 3" xfId="17516" xr:uid="{00000000-0005-0000-0000-00006C440000}"/>
    <cellStyle name="Normal 206 3 4" xfId="17517" xr:uid="{00000000-0005-0000-0000-00006D440000}"/>
    <cellStyle name="Normal 206 3 4 2" xfId="17518" xr:uid="{00000000-0005-0000-0000-00006E440000}"/>
    <cellStyle name="Normal 206 3 4 2 2" xfId="17519" xr:uid="{00000000-0005-0000-0000-00006F440000}"/>
    <cellStyle name="Normal 206 3 4 3" xfId="17520" xr:uid="{00000000-0005-0000-0000-000070440000}"/>
    <cellStyle name="Normal 206 3 5" xfId="17521" xr:uid="{00000000-0005-0000-0000-000071440000}"/>
    <cellStyle name="Normal 206 3 5 2" xfId="17522" xr:uid="{00000000-0005-0000-0000-000072440000}"/>
    <cellStyle name="Normal 206 3 5 2 2" xfId="17523" xr:uid="{00000000-0005-0000-0000-000073440000}"/>
    <cellStyle name="Normal 206 3 5 3" xfId="17524" xr:uid="{00000000-0005-0000-0000-000074440000}"/>
    <cellStyle name="Normal 206 3 6" xfId="17525" xr:uid="{00000000-0005-0000-0000-000075440000}"/>
    <cellStyle name="Normal 206 4" xfId="17526" xr:uid="{00000000-0005-0000-0000-000076440000}"/>
    <cellStyle name="Normal 206 4 2" xfId="17527" xr:uid="{00000000-0005-0000-0000-000077440000}"/>
    <cellStyle name="Normal 206 4 2 2" xfId="17528" xr:uid="{00000000-0005-0000-0000-000078440000}"/>
    <cellStyle name="Normal 206 4 3" xfId="17529" xr:uid="{00000000-0005-0000-0000-000079440000}"/>
    <cellStyle name="Normal 206 5" xfId="17530" xr:uid="{00000000-0005-0000-0000-00007A440000}"/>
    <cellStyle name="Normal 206 5 2" xfId="17531" xr:uid="{00000000-0005-0000-0000-00007B440000}"/>
    <cellStyle name="Normal 206 5 2 2" xfId="17532" xr:uid="{00000000-0005-0000-0000-00007C440000}"/>
    <cellStyle name="Normal 206 5 3" xfId="17533" xr:uid="{00000000-0005-0000-0000-00007D440000}"/>
    <cellStyle name="Normal 206 6" xfId="17534" xr:uid="{00000000-0005-0000-0000-00007E440000}"/>
    <cellStyle name="Normal 206 6 2" xfId="17535" xr:uid="{00000000-0005-0000-0000-00007F440000}"/>
    <cellStyle name="Normal 206 6 2 2" xfId="17536" xr:uid="{00000000-0005-0000-0000-000080440000}"/>
    <cellStyle name="Normal 206 6 3" xfId="17537" xr:uid="{00000000-0005-0000-0000-000081440000}"/>
    <cellStyle name="Normal 206 7" xfId="17538" xr:uid="{00000000-0005-0000-0000-000082440000}"/>
    <cellStyle name="Normal 207" xfId="17539" xr:uid="{00000000-0005-0000-0000-000083440000}"/>
    <cellStyle name="Normal 207 2" xfId="17540" xr:uid="{00000000-0005-0000-0000-000084440000}"/>
    <cellStyle name="Normal 207 2 2" xfId="17541" xr:uid="{00000000-0005-0000-0000-000085440000}"/>
    <cellStyle name="Normal 207 2 2 2" xfId="17542" xr:uid="{00000000-0005-0000-0000-000086440000}"/>
    <cellStyle name="Normal 207 2 3" xfId="17543" xr:uid="{00000000-0005-0000-0000-000087440000}"/>
    <cellStyle name="Normal 207 2 3 2" xfId="17544" xr:uid="{00000000-0005-0000-0000-000088440000}"/>
    <cellStyle name="Normal 207 2 3 2 2" xfId="17545" xr:uid="{00000000-0005-0000-0000-000089440000}"/>
    <cellStyle name="Normal 207 2 3 3" xfId="17546" xr:uid="{00000000-0005-0000-0000-00008A440000}"/>
    <cellStyle name="Normal 207 2 4" xfId="17547" xr:uid="{00000000-0005-0000-0000-00008B440000}"/>
    <cellStyle name="Normal 207 2 4 2" xfId="17548" xr:uid="{00000000-0005-0000-0000-00008C440000}"/>
    <cellStyle name="Normal 207 2 4 2 2" xfId="17549" xr:uid="{00000000-0005-0000-0000-00008D440000}"/>
    <cellStyle name="Normal 207 2 4 3" xfId="17550" xr:uid="{00000000-0005-0000-0000-00008E440000}"/>
    <cellStyle name="Normal 207 2 5" xfId="17551" xr:uid="{00000000-0005-0000-0000-00008F440000}"/>
    <cellStyle name="Normal 207 3" xfId="17552" xr:uid="{00000000-0005-0000-0000-000090440000}"/>
    <cellStyle name="Normal 207 3 2" xfId="17553" xr:uid="{00000000-0005-0000-0000-000091440000}"/>
    <cellStyle name="Normal 207 3 2 2" xfId="17554" xr:uid="{00000000-0005-0000-0000-000092440000}"/>
    <cellStyle name="Normal 207 3 2 2 2" xfId="17555" xr:uid="{00000000-0005-0000-0000-000093440000}"/>
    <cellStyle name="Normal 207 3 2 3" xfId="17556" xr:uid="{00000000-0005-0000-0000-000094440000}"/>
    <cellStyle name="Normal 207 3 2 3 2" xfId="17557" xr:uid="{00000000-0005-0000-0000-000095440000}"/>
    <cellStyle name="Normal 207 3 2 3 2 2" xfId="17558" xr:uid="{00000000-0005-0000-0000-000096440000}"/>
    <cellStyle name="Normal 207 3 2 3 3" xfId="17559" xr:uid="{00000000-0005-0000-0000-000097440000}"/>
    <cellStyle name="Normal 207 3 2 4" xfId="17560" xr:uid="{00000000-0005-0000-0000-000098440000}"/>
    <cellStyle name="Normal 207 3 3" xfId="17561" xr:uid="{00000000-0005-0000-0000-000099440000}"/>
    <cellStyle name="Normal 207 3 3 2" xfId="17562" xr:uid="{00000000-0005-0000-0000-00009A440000}"/>
    <cellStyle name="Normal 207 3 3 2 2" xfId="17563" xr:uid="{00000000-0005-0000-0000-00009B440000}"/>
    <cellStyle name="Normal 207 3 3 3" xfId="17564" xr:uid="{00000000-0005-0000-0000-00009C440000}"/>
    <cellStyle name="Normal 207 3 4" xfId="17565" xr:uid="{00000000-0005-0000-0000-00009D440000}"/>
    <cellStyle name="Normal 207 3 4 2" xfId="17566" xr:uid="{00000000-0005-0000-0000-00009E440000}"/>
    <cellStyle name="Normal 207 3 4 2 2" xfId="17567" xr:uid="{00000000-0005-0000-0000-00009F440000}"/>
    <cellStyle name="Normal 207 3 4 3" xfId="17568" xr:uid="{00000000-0005-0000-0000-0000A0440000}"/>
    <cellStyle name="Normal 207 3 5" xfId="17569" xr:uid="{00000000-0005-0000-0000-0000A1440000}"/>
    <cellStyle name="Normal 207 3 5 2" xfId="17570" xr:uid="{00000000-0005-0000-0000-0000A2440000}"/>
    <cellStyle name="Normal 207 3 5 2 2" xfId="17571" xr:uid="{00000000-0005-0000-0000-0000A3440000}"/>
    <cellStyle name="Normal 207 3 5 3" xfId="17572" xr:uid="{00000000-0005-0000-0000-0000A4440000}"/>
    <cellStyle name="Normal 207 3 6" xfId="17573" xr:uid="{00000000-0005-0000-0000-0000A5440000}"/>
    <cellStyle name="Normal 207 4" xfId="17574" xr:uid="{00000000-0005-0000-0000-0000A6440000}"/>
    <cellStyle name="Normal 207 4 2" xfId="17575" xr:uid="{00000000-0005-0000-0000-0000A7440000}"/>
    <cellStyle name="Normal 207 4 2 2" xfId="17576" xr:uid="{00000000-0005-0000-0000-0000A8440000}"/>
    <cellStyle name="Normal 207 4 3" xfId="17577" xr:uid="{00000000-0005-0000-0000-0000A9440000}"/>
    <cellStyle name="Normal 207 5" xfId="17578" xr:uid="{00000000-0005-0000-0000-0000AA440000}"/>
    <cellStyle name="Normal 207 5 2" xfId="17579" xr:uid="{00000000-0005-0000-0000-0000AB440000}"/>
    <cellStyle name="Normal 207 5 2 2" xfId="17580" xr:uid="{00000000-0005-0000-0000-0000AC440000}"/>
    <cellStyle name="Normal 207 5 3" xfId="17581" xr:uid="{00000000-0005-0000-0000-0000AD440000}"/>
    <cellStyle name="Normal 207 6" xfId="17582" xr:uid="{00000000-0005-0000-0000-0000AE440000}"/>
    <cellStyle name="Normal 207 6 2" xfId="17583" xr:uid="{00000000-0005-0000-0000-0000AF440000}"/>
    <cellStyle name="Normal 207 6 2 2" xfId="17584" xr:uid="{00000000-0005-0000-0000-0000B0440000}"/>
    <cellStyle name="Normal 207 6 3" xfId="17585" xr:uid="{00000000-0005-0000-0000-0000B1440000}"/>
    <cellStyle name="Normal 207 7" xfId="17586" xr:uid="{00000000-0005-0000-0000-0000B2440000}"/>
    <cellStyle name="Normal 208" xfId="17587" xr:uid="{00000000-0005-0000-0000-0000B3440000}"/>
    <cellStyle name="Normal 208 2" xfId="17588" xr:uid="{00000000-0005-0000-0000-0000B4440000}"/>
    <cellStyle name="Normal 208 2 2" xfId="17589" xr:uid="{00000000-0005-0000-0000-0000B5440000}"/>
    <cellStyle name="Normal 208 2 2 2" xfId="17590" xr:uid="{00000000-0005-0000-0000-0000B6440000}"/>
    <cellStyle name="Normal 208 2 3" xfId="17591" xr:uid="{00000000-0005-0000-0000-0000B7440000}"/>
    <cellStyle name="Normal 208 2 3 2" xfId="17592" xr:uid="{00000000-0005-0000-0000-0000B8440000}"/>
    <cellStyle name="Normal 208 2 3 2 2" xfId="17593" xr:uid="{00000000-0005-0000-0000-0000B9440000}"/>
    <cellStyle name="Normal 208 2 3 3" xfId="17594" xr:uid="{00000000-0005-0000-0000-0000BA440000}"/>
    <cellStyle name="Normal 208 2 4" xfId="17595" xr:uid="{00000000-0005-0000-0000-0000BB440000}"/>
    <cellStyle name="Normal 208 2 4 2" xfId="17596" xr:uid="{00000000-0005-0000-0000-0000BC440000}"/>
    <cellStyle name="Normal 208 2 4 2 2" xfId="17597" xr:uid="{00000000-0005-0000-0000-0000BD440000}"/>
    <cellStyle name="Normal 208 2 4 3" xfId="17598" xr:uid="{00000000-0005-0000-0000-0000BE440000}"/>
    <cellStyle name="Normal 208 2 5" xfId="17599" xr:uid="{00000000-0005-0000-0000-0000BF440000}"/>
    <cellStyle name="Normal 208 3" xfId="17600" xr:uid="{00000000-0005-0000-0000-0000C0440000}"/>
    <cellStyle name="Normal 208 3 2" xfId="17601" xr:uid="{00000000-0005-0000-0000-0000C1440000}"/>
    <cellStyle name="Normal 208 3 2 2" xfId="17602" xr:uid="{00000000-0005-0000-0000-0000C2440000}"/>
    <cellStyle name="Normal 208 3 2 2 2" xfId="17603" xr:uid="{00000000-0005-0000-0000-0000C3440000}"/>
    <cellStyle name="Normal 208 3 2 3" xfId="17604" xr:uid="{00000000-0005-0000-0000-0000C4440000}"/>
    <cellStyle name="Normal 208 3 2 3 2" xfId="17605" xr:uid="{00000000-0005-0000-0000-0000C5440000}"/>
    <cellStyle name="Normal 208 3 2 3 2 2" xfId="17606" xr:uid="{00000000-0005-0000-0000-0000C6440000}"/>
    <cellStyle name="Normal 208 3 2 3 3" xfId="17607" xr:uid="{00000000-0005-0000-0000-0000C7440000}"/>
    <cellStyle name="Normal 208 3 2 4" xfId="17608" xr:uid="{00000000-0005-0000-0000-0000C8440000}"/>
    <cellStyle name="Normal 208 3 3" xfId="17609" xr:uid="{00000000-0005-0000-0000-0000C9440000}"/>
    <cellStyle name="Normal 208 3 3 2" xfId="17610" xr:uid="{00000000-0005-0000-0000-0000CA440000}"/>
    <cellStyle name="Normal 208 3 3 2 2" xfId="17611" xr:uid="{00000000-0005-0000-0000-0000CB440000}"/>
    <cellStyle name="Normal 208 3 3 3" xfId="17612" xr:uid="{00000000-0005-0000-0000-0000CC440000}"/>
    <cellStyle name="Normal 208 3 4" xfId="17613" xr:uid="{00000000-0005-0000-0000-0000CD440000}"/>
    <cellStyle name="Normal 208 3 4 2" xfId="17614" xr:uid="{00000000-0005-0000-0000-0000CE440000}"/>
    <cellStyle name="Normal 208 3 4 2 2" xfId="17615" xr:uid="{00000000-0005-0000-0000-0000CF440000}"/>
    <cellStyle name="Normal 208 3 4 3" xfId="17616" xr:uid="{00000000-0005-0000-0000-0000D0440000}"/>
    <cellStyle name="Normal 208 3 5" xfId="17617" xr:uid="{00000000-0005-0000-0000-0000D1440000}"/>
    <cellStyle name="Normal 208 3 5 2" xfId="17618" xr:uid="{00000000-0005-0000-0000-0000D2440000}"/>
    <cellStyle name="Normal 208 3 5 2 2" xfId="17619" xr:uid="{00000000-0005-0000-0000-0000D3440000}"/>
    <cellStyle name="Normal 208 3 5 3" xfId="17620" xr:uid="{00000000-0005-0000-0000-0000D4440000}"/>
    <cellStyle name="Normal 208 3 6" xfId="17621" xr:uid="{00000000-0005-0000-0000-0000D5440000}"/>
    <cellStyle name="Normal 208 4" xfId="17622" xr:uid="{00000000-0005-0000-0000-0000D6440000}"/>
    <cellStyle name="Normal 208 4 2" xfId="17623" xr:uid="{00000000-0005-0000-0000-0000D7440000}"/>
    <cellStyle name="Normal 208 4 2 2" xfId="17624" xr:uid="{00000000-0005-0000-0000-0000D8440000}"/>
    <cellStyle name="Normal 208 4 3" xfId="17625" xr:uid="{00000000-0005-0000-0000-0000D9440000}"/>
    <cellStyle name="Normal 208 5" xfId="17626" xr:uid="{00000000-0005-0000-0000-0000DA440000}"/>
    <cellStyle name="Normal 208 5 2" xfId="17627" xr:uid="{00000000-0005-0000-0000-0000DB440000}"/>
    <cellStyle name="Normal 208 5 2 2" xfId="17628" xr:uid="{00000000-0005-0000-0000-0000DC440000}"/>
    <cellStyle name="Normal 208 5 3" xfId="17629" xr:uid="{00000000-0005-0000-0000-0000DD440000}"/>
    <cellStyle name="Normal 208 6" xfId="17630" xr:uid="{00000000-0005-0000-0000-0000DE440000}"/>
    <cellStyle name="Normal 208 6 2" xfId="17631" xr:uid="{00000000-0005-0000-0000-0000DF440000}"/>
    <cellStyle name="Normal 208 6 2 2" xfId="17632" xr:uid="{00000000-0005-0000-0000-0000E0440000}"/>
    <cellStyle name="Normal 208 6 3" xfId="17633" xr:uid="{00000000-0005-0000-0000-0000E1440000}"/>
    <cellStyle name="Normal 208 7" xfId="17634" xr:uid="{00000000-0005-0000-0000-0000E2440000}"/>
    <cellStyle name="Normal 209" xfId="17635" xr:uid="{00000000-0005-0000-0000-0000E3440000}"/>
    <cellStyle name="Normal 209 2" xfId="17636" xr:uid="{00000000-0005-0000-0000-0000E4440000}"/>
    <cellStyle name="Normal 209 2 2" xfId="17637" xr:uid="{00000000-0005-0000-0000-0000E5440000}"/>
    <cellStyle name="Normal 209 2 2 2" xfId="17638" xr:uid="{00000000-0005-0000-0000-0000E6440000}"/>
    <cellStyle name="Normal 209 2 3" xfId="17639" xr:uid="{00000000-0005-0000-0000-0000E7440000}"/>
    <cellStyle name="Normal 209 2 3 2" xfId="17640" xr:uid="{00000000-0005-0000-0000-0000E8440000}"/>
    <cellStyle name="Normal 209 2 3 2 2" xfId="17641" xr:uid="{00000000-0005-0000-0000-0000E9440000}"/>
    <cellStyle name="Normal 209 2 3 3" xfId="17642" xr:uid="{00000000-0005-0000-0000-0000EA440000}"/>
    <cellStyle name="Normal 209 2 4" xfId="17643" xr:uid="{00000000-0005-0000-0000-0000EB440000}"/>
    <cellStyle name="Normal 209 2 4 2" xfId="17644" xr:uid="{00000000-0005-0000-0000-0000EC440000}"/>
    <cellStyle name="Normal 209 2 4 2 2" xfId="17645" xr:uid="{00000000-0005-0000-0000-0000ED440000}"/>
    <cellStyle name="Normal 209 2 4 3" xfId="17646" xr:uid="{00000000-0005-0000-0000-0000EE440000}"/>
    <cellStyle name="Normal 209 2 5" xfId="17647" xr:uid="{00000000-0005-0000-0000-0000EF440000}"/>
    <cellStyle name="Normal 209 3" xfId="17648" xr:uid="{00000000-0005-0000-0000-0000F0440000}"/>
    <cellStyle name="Normal 209 3 2" xfId="17649" xr:uid="{00000000-0005-0000-0000-0000F1440000}"/>
    <cellStyle name="Normal 209 3 2 2" xfId="17650" xr:uid="{00000000-0005-0000-0000-0000F2440000}"/>
    <cellStyle name="Normal 209 3 2 2 2" xfId="17651" xr:uid="{00000000-0005-0000-0000-0000F3440000}"/>
    <cellStyle name="Normal 209 3 2 3" xfId="17652" xr:uid="{00000000-0005-0000-0000-0000F4440000}"/>
    <cellStyle name="Normal 209 3 2 3 2" xfId="17653" xr:uid="{00000000-0005-0000-0000-0000F5440000}"/>
    <cellStyle name="Normal 209 3 2 3 2 2" xfId="17654" xr:uid="{00000000-0005-0000-0000-0000F6440000}"/>
    <cellStyle name="Normal 209 3 2 3 3" xfId="17655" xr:uid="{00000000-0005-0000-0000-0000F7440000}"/>
    <cellStyle name="Normal 209 3 2 4" xfId="17656" xr:uid="{00000000-0005-0000-0000-0000F8440000}"/>
    <cellStyle name="Normal 209 3 3" xfId="17657" xr:uid="{00000000-0005-0000-0000-0000F9440000}"/>
    <cellStyle name="Normal 209 3 3 2" xfId="17658" xr:uid="{00000000-0005-0000-0000-0000FA440000}"/>
    <cellStyle name="Normal 209 3 3 2 2" xfId="17659" xr:uid="{00000000-0005-0000-0000-0000FB440000}"/>
    <cellStyle name="Normal 209 3 3 3" xfId="17660" xr:uid="{00000000-0005-0000-0000-0000FC440000}"/>
    <cellStyle name="Normal 209 3 4" xfId="17661" xr:uid="{00000000-0005-0000-0000-0000FD440000}"/>
    <cellStyle name="Normal 209 3 4 2" xfId="17662" xr:uid="{00000000-0005-0000-0000-0000FE440000}"/>
    <cellStyle name="Normal 209 3 4 2 2" xfId="17663" xr:uid="{00000000-0005-0000-0000-0000FF440000}"/>
    <cellStyle name="Normal 209 3 4 3" xfId="17664" xr:uid="{00000000-0005-0000-0000-000000450000}"/>
    <cellStyle name="Normal 209 3 5" xfId="17665" xr:uid="{00000000-0005-0000-0000-000001450000}"/>
    <cellStyle name="Normal 209 3 5 2" xfId="17666" xr:uid="{00000000-0005-0000-0000-000002450000}"/>
    <cellStyle name="Normal 209 3 5 2 2" xfId="17667" xr:uid="{00000000-0005-0000-0000-000003450000}"/>
    <cellStyle name="Normal 209 3 5 3" xfId="17668" xr:uid="{00000000-0005-0000-0000-000004450000}"/>
    <cellStyle name="Normal 209 3 6" xfId="17669" xr:uid="{00000000-0005-0000-0000-000005450000}"/>
    <cellStyle name="Normal 209 4" xfId="17670" xr:uid="{00000000-0005-0000-0000-000006450000}"/>
    <cellStyle name="Normal 209 4 2" xfId="17671" xr:uid="{00000000-0005-0000-0000-000007450000}"/>
    <cellStyle name="Normal 209 4 2 2" xfId="17672" xr:uid="{00000000-0005-0000-0000-000008450000}"/>
    <cellStyle name="Normal 209 4 3" xfId="17673" xr:uid="{00000000-0005-0000-0000-000009450000}"/>
    <cellStyle name="Normal 209 5" xfId="17674" xr:uid="{00000000-0005-0000-0000-00000A450000}"/>
    <cellStyle name="Normal 209 5 2" xfId="17675" xr:uid="{00000000-0005-0000-0000-00000B450000}"/>
    <cellStyle name="Normal 209 5 2 2" xfId="17676" xr:uid="{00000000-0005-0000-0000-00000C450000}"/>
    <cellStyle name="Normal 209 5 3" xfId="17677" xr:uid="{00000000-0005-0000-0000-00000D450000}"/>
    <cellStyle name="Normal 209 6" xfId="17678" xr:uid="{00000000-0005-0000-0000-00000E450000}"/>
    <cellStyle name="Normal 209 6 2" xfId="17679" xr:uid="{00000000-0005-0000-0000-00000F450000}"/>
    <cellStyle name="Normal 209 6 2 2" xfId="17680" xr:uid="{00000000-0005-0000-0000-000010450000}"/>
    <cellStyle name="Normal 209 6 3" xfId="17681" xr:uid="{00000000-0005-0000-0000-000011450000}"/>
    <cellStyle name="Normal 209 7" xfId="17682" xr:uid="{00000000-0005-0000-0000-000012450000}"/>
    <cellStyle name="Normal 21" xfId="17683" xr:uid="{00000000-0005-0000-0000-000013450000}"/>
    <cellStyle name="Normal 21 2" xfId="17684" xr:uid="{00000000-0005-0000-0000-000014450000}"/>
    <cellStyle name="Normal 21 2 2" xfId="17685" xr:uid="{00000000-0005-0000-0000-000015450000}"/>
    <cellStyle name="Normal 21 2 2 2" xfId="17686" xr:uid="{00000000-0005-0000-0000-000016450000}"/>
    <cellStyle name="Normal 21 2 2 2 2" xfId="17687" xr:uid="{00000000-0005-0000-0000-000017450000}"/>
    <cellStyle name="Normal 21 2 2 3" xfId="17688" xr:uid="{00000000-0005-0000-0000-000018450000}"/>
    <cellStyle name="Normal 21 2 2 3 2" xfId="17689" xr:uid="{00000000-0005-0000-0000-000019450000}"/>
    <cellStyle name="Normal 21 2 2 3 2 2" xfId="17690" xr:uid="{00000000-0005-0000-0000-00001A450000}"/>
    <cellStyle name="Normal 21 2 2 3 3" xfId="17691" xr:uid="{00000000-0005-0000-0000-00001B450000}"/>
    <cellStyle name="Normal 21 2 2 4" xfId="17692" xr:uid="{00000000-0005-0000-0000-00001C450000}"/>
    <cellStyle name="Normal 21 2 2 4 2" xfId="17693" xr:uid="{00000000-0005-0000-0000-00001D450000}"/>
    <cellStyle name="Normal 21 2 2 4 2 2" xfId="17694" xr:uid="{00000000-0005-0000-0000-00001E450000}"/>
    <cellStyle name="Normal 21 2 2 4 3" xfId="17695" xr:uid="{00000000-0005-0000-0000-00001F450000}"/>
    <cellStyle name="Normal 21 2 2 5" xfId="17696" xr:uid="{00000000-0005-0000-0000-000020450000}"/>
    <cellStyle name="Normal 21 2 3" xfId="17697" xr:uid="{00000000-0005-0000-0000-000021450000}"/>
    <cellStyle name="Normal 21 2 3 2" xfId="17698" xr:uid="{00000000-0005-0000-0000-000022450000}"/>
    <cellStyle name="Normal 21 2 3 2 2" xfId="17699" xr:uid="{00000000-0005-0000-0000-000023450000}"/>
    <cellStyle name="Normal 21 2 3 3" xfId="17700" xr:uid="{00000000-0005-0000-0000-000024450000}"/>
    <cellStyle name="Normal 21 2 4" xfId="17701" xr:uid="{00000000-0005-0000-0000-000025450000}"/>
    <cellStyle name="Normal 21 2 4 2" xfId="17702" xr:uid="{00000000-0005-0000-0000-000026450000}"/>
    <cellStyle name="Normal 21 2 4 2 2" xfId="17703" xr:uid="{00000000-0005-0000-0000-000027450000}"/>
    <cellStyle name="Normal 21 2 4 3" xfId="17704" xr:uid="{00000000-0005-0000-0000-000028450000}"/>
    <cellStyle name="Normal 21 2 5" xfId="17705" xr:uid="{00000000-0005-0000-0000-000029450000}"/>
    <cellStyle name="Normal 21 2 5 2" xfId="17706" xr:uid="{00000000-0005-0000-0000-00002A450000}"/>
    <cellStyle name="Normal 21 2 5 2 2" xfId="17707" xr:uid="{00000000-0005-0000-0000-00002B450000}"/>
    <cellStyle name="Normal 21 2 5 3" xfId="17708" xr:uid="{00000000-0005-0000-0000-00002C450000}"/>
    <cellStyle name="Normal 21 2 6" xfId="17709" xr:uid="{00000000-0005-0000-0000-00002D450000}"/>
    <cellStyle name="Normal 21 3" xfId="17710" xr:uid="{00000000-0005-0000-0000-00002E450000}"/>
    <cellStyle name="Normal 21 3 2" xfId="17711" xr:uid="{00000000-0005-0000-0000-00002F450000}"/>
    <cellStyle name="Normal 21 3 2 2" xfId="17712" xr:uid="{00000000-0005-0000-0000-000030450000}"/>
    <cellStyle name="Normal 21 3 3" xfId="17713" xr:uid="{00000000-0005-0000-0000-000031450000}"/>
    <cellStyle name="Normal 21 3 3 2" xfId="17714" xr:uid="{00000000-0005-0000-0000-000032450000}"/>
    <cellStyle name="Normal 21 3 3 2 2" xfId="17715" xr:uid="{00000000-0005-0000-0000-000033450000}"/>
    <cellStyle name="Normal 21 3 3 3" xfId="17716" xr:uid="{00000000-0005-0000-0000-000034450000}"/>
    <cellStyle name="Normal 21 3 4" xfId="17717" xr:uid="{00000000-0005-0000-0000-000035450000}"/>
    <cellStyle name="Normal 21 3 4 2" xfId="17718" xr:uid="{00000000-0005-0000-0000-000036450000}"/>
    <cellStyle name="Normal 21 3 4 2 2" xfId="17719" xr:uid="{00000000-0005-0000-0000-000037450000}"/>
    <cellStyle name="Normal 21 3 4 3" xfId="17720" xr:uid="{00000000-0005-0000-0000-000038450000}"/>
    <cellStyle name="Normal 21 3 5" xfId="17721" xr:uid="{00000000-0005-0000-0000-000039450000}"/>
    <cellStyle name="Normal 21 4" xfId="17722" xr:uid="{00000000-0005-0000-0000-00003A450000}"/>
    <cellStyle name="Normal 21 4 2" xfId="17723" xr:uid="{00000000-0005-0000-0000-00003B450000}"/>
    <cellStyle name="Normal 21 4 2 2" xfId="17724" xr:uid="{00000000-0005-0000-0000-00003C450000}"/>
    <cellStyle name="Normal 21 4 2 2 2" xfId="17725" xr:uid="{00000000-0005-0000-0000-00003D450000}"/>
    <cellStyle name="Normal 21 4 2 3" xfId="17726" xr:uid="{00000000-0005-0000-0000-00003E450000}"/>
    <cellStyle name="Normal 21 4 2 3 2" xfId="17727" xr:uid="{00000000-0005-0000-0000-00003F450000}"/>
    <cellStyle name="Normal 21 4 2 3 2 2" xfId="17728" xr:uid="{00000000-0005-0000-0000-000040450000}"/>
    <cellStyle name="Normal 21 4 2 3 3" xfId="17729" xr:uid="{00000000-0005-0000-0000-000041450000}"/>
    <cellStyle name="Normal 21 4 2 4" xfId="17730" xr:uid="{00000000-0005-0000-0000-000042450000}"/>
    <cellStyle name="Normal 21 4 3" xfId="17731" xr:uid="{00000000-0005-0000-0000-000043450000}"/>
    <cellStyle name="Normal 21 4 3 2" xfId="17732" xr:uid="{00000000-0005-0000-0000-000044450000}"/>
    <cellStyle name="Normal 21 4 3 2 2" xfId="17733" xr:uid="{00000000-0005-0000-0000-000045450000}"/>
    <cellStyle name="Normal 21 4 3 3" xfId="17734" xr:uid="{00000000-0005-0000-0000-000046450000}"/>
    <cellStyle name="Normal 21 4 4" xfId="17735" xr:uid="{00000000-0005-0000-0000-000047450000}"/>
    <cellStyle name="Normal 21 4 4 2" xfId="17736" xr:uid="{00000000-0005-0000-0000-000048450000}"/>
    <cellStyle name="Normal 21 4 4 2 2" xfId="17737" xr:uid="{00000000-0005-0000-0000-000049450000}"/>
    <cellStyle name="Normal 21 4 4 3" xfId="17738" xr:uid="{00000000-0005-0000-0000-00004A450000}"/>
    <cellStyle name="Normal 21 4 5" xfId="17739" xr:uid="{00000000-0005-0000-0000-00004B450000}"/>
    <cellStyle name="Normal 21 4 5 2" xfId="17740" xr:uid="{00000000-0005-0000-0000-00004C450000}"/>
    <cellStyle name="Normal 21 4 5 2 2" xfId="17741" xr:uid="{00000000-0005-0000-0000-00004D450000}"/>
    <cellStyle name="Normal 21 4 5 3" xfId="17742" xr:uid="{00000000-0005-0000-0000-00004E450000}"/>
    <cellStyle name="Normal 21 4 6" xfId="17743" xr:uid="{00000000-0005-0000-0000-00004F450000}"/>
    <cellStyle name="Normal 21 5" xfId="17744" xr:uid="{00000000-0005-0000-0000-000050450000}"/>
    <cellStyle name="Normal 210" xfId="17745" xr:uid="{00000000-0005-0000-0000-000051450000}"/>
    <cellStyle name="Normal 210 2" xfId="17746" xr:uid="{00000000-0005-0000-0000-000052450000}"/>
    <cellStyle name="Normal 210 2 2" xfId="17747" xr:uid="{00000000-0005-0000-0000-000053450000}"/>
    <cellStyle name="Normal 210 2 2 2" xfId="17748" xr:uid="{00000000-0005-0000-0000-000054450000}"/>
    <cellStyle name="Normal 210 2 3" xfId="17749" xr:uid="{00000000-0005-0000-0000-000055450000}"/>
    <cellStyle name="Normal 210 2 3 2" xfId="17750" xr:uid="{00000000-0005-0000-0000-000056450000}"/>
    <cellStyle name="Normal 210 2 3 2 2" xfId="17751" xr:uid="{00000000-0005-0000-0000-000057450000}"/>
    <cellStyle name="Normal 210 2 3 3" xfId="17752" xr:uid="{00000000-0005-0000-0000-000058450000}"/>
    <cellStyle name="Normal 210 2 4" xfId="17753" xr:uid="{00000000-0005-0000-0000-000059450000}"/>
    <cellStyle name="Normal 210 2 4 2" xfId="17754" xr:uid="{00000000-0005-0000-0000-00005A450000}"/>
    <cellStyle name="Normal 210 2 4 2 2" xfId="17755" xr:uid="{00000000-0005-0000-0000-00005B450000}"/>
    <cellStyle name="Normal 210 2 4 3" xfId="17756" xr:uid="{00000000-0005-0000-0000-00005C450000}"/>
    <cellStyle name="Normal 210 2 5" xfId="17757" xr:uid="{00000000-0005-0000-0000-00005D450000}"/>
    <cellStyle name="Normal 210 3" xfId="17758" xr:uid="{00000000-0005-0000-0000-00005E450000}"/>
    <cellStyle name="Normal 210 3 2" xfId="17759" xr:uid="{00000000-0005-0000-0000-00005F450000}"/>
    <cellStyle name="Normal 210 3 2 2" xfId="17760" xr:uid="{00000000-0005-0000-0000-000060450000}"/>
    <cellStyle name="Normal 210 3 2 2 2" xfId="17761" xr:uid="{00000000-0005-0000-0000-000061450000}"/>
    <cellStyle name="Normal 210 3 2 3" xfId="17762" xr:uid="{00000000-0005-0000-0000-000062450000}"/>
    <cellStyle name="Normal 210 3 2 3 2" xfId="17763" xr:uid="{00000000-0005-0000-0000-000063450000}"/>
    <cellStyle name="Normal 210 3 2 3 2 2" xfId="17764" xr:uid="{00000000-0005-0000-0000-000064450000}"/>
    <cellStyle name="Normal 210 3 2 3 3" xfId="17765" xr:uid="{00000000-0005-0000-0000-000065450000}"/>
    <cellStyle name="Normal 210 3 2 4" xfId="17766" xr:uid="{00000000-0005-0000-0000-000066450000}"/>
    <cellStyle name="Normal 210 3 3" xfId="17767" xr:uid="{00000000-0005-0000-0000-000067450000}"/>
    <cellStyle name="Normal 210 3 3 2" xfId="17768" xr:uid="{00000000-0005-0000-0000-000068450000}"/>
    <cellStyle name="Normal 210 3 3 2 2" xfId="17769" xr:uid="{00000000-0005-0000-0000-000069450000}"/>
    <cellStyle name="Normal 210 3 3 3" xfId="17770" xr:uid="{00000000-0005-0000-0000-00006A450000}"/>
    <cellStyle name="Normal 210 3 4" xfId="17771" xr:uid="{00000000-0005-0000-0000-00006B450000}"/>
    <cellStyle name="Normal 210 3 4 2" xfId="17772" xr:uid="{00000000-0005-0000-0000-00006C450000}"/>
    <cellStyle name="Normal 210 3 4 2 2" xfId="17773" xr:uid="{00000000-0005-0000-0000-00006D450000}"/>
    <cellStyle name="Normal 210 3 4 3" xfId="17774" xr:uid="{00000000-0005-0000-0000-00006E450000}"/>
    <cellStyle name="Normal 210 3 5" xfId="17775" xr:uid="{00000000-0005-0000-0000-00006F450000}"/>
    <cellStyle name="Normal 210 3 5 2" xfId="17776" xr:uid="{00000000-0005-0000-0000-000070450000}"/>
    <cellStyle name="Normal 210 3 5 2 2" xfId="17777" xr:uid="{00000000-0005-0000-0000-000071450000}"/>
    <cellStyle name="Normal 210 3 5 3" xfId="17778" xr:uid="{00000000-0005-0000-0000-000072450000}"/>
    <cellStyle name="Normal 210 3 6" xfId="17779" xr:uid="{00000000-0005-0000-0000-000073450000}"/>
    <cellStyle name="Normal 210 4" xfId="17780" xr:uid="{00000000-0005-0000-0000-000074450000}"/>
    <cellStyle name="Normal 210 4 2" xfId="17781" xr:uid="{00000000-0005-0000-0000-000075450000}"/>
    <cellStyle name="Normal 210 4 2 2" xfId="17782" xr:uid="{00000000-0005-0000-0000-000076450000}"/>
    <cellStyle name="Normal 210 4 3" xfId="17783" xr:uid="{00000000-0005-0000-0000-000077450000}"/>
    <cellStyle name="Normal 210 5" xfId="17784" xr:uid="{00000000-0005-0000-0000-000078450000}"/>
    <cellStyle name="Normal 210 5 2" xfId="17785" xr:uid="{00000000-0005-0000-0000-000079450000}"/>
    <cellStyle name="Normal 210 5 2 2" xfId="17786" xr:uid="{00000000-0005-0000-0000-00007A450000}"/>
    <cellStyle name="Normal 210 5 3" xfId="17787" xr:uid="{00000000-0005-0000-0000-00007B450000}"/>
    <cellStyle name="Normal 210 6" xfId="17788" xr:uid="{00000000-0005-0000-0000-00007C450000}"/>
    <cellStyle name="Normal 210 6 2" xfId="17789" xr:uid="{00000000-0005-0000-0000-00007D450000}"/>
    <cellStyle name="Normal 210 6 2 2" xfId="17790" xr:uid="{00000000-0005-0000-0000-00007E450000}"/>
    <cellStyle name="Normal 210 6 3" xfId="17791" xr:uid="{00000000-0005-0000-0000-00007F450000}"/>
    <cellStyle name="Normal 210 7" xfId="17792" xr:uid="{00000000-0005-0000-0000-000080450000}"/>
    <cellStyle name="Normal 211" xfId="17793" xr:uid="{00000000-0005-0000-0000-000081450000}"/>
    <cellStyle name="Normal 211 2" xfId="17794" xr:uid="{00000000-0005-0000-0000-000082450000}"/>
    <cellStyle name="Normal 211 2 2" xfId="17795" xr:uid="{00000000-0005-0000-0000-000083450000}"/>
    <cellStyle name="Normal 211 2 2 2" xfId="17796" xr:uid="{00000000-0005-0000-0000-000084450000}"/>
    <cellStyle name="Normal 211 2 3" xfId="17797" xr:uid="{00000000-0005-0000-0000-000085450000}"/>
    <cellStyle name="Normal 211 2 3 2" xfId="17798" xr:uid="{00000000-0005-0000-0000-000086450000}"/>
    <cellStyle name="Normal 211 2 3 2 2" xfId="17799" xr:uid="{00000000-0005-0000-0000-000087450000}"/>
    <cellStyle name="Normal 211 2 3 3" xfId="17800" xr:uid="{00000000-0005-0000-0000-000088450000}"/>
    <cellStyle name="Normal 211 2 4" xfId="17801" xr:uid="{00000000-0005-0000-0000-000089450000}"/>
    <cellStyle name="Normal 211 2 4 2" xfId="17802" xr:uid="{00000000-0005-0000-0000-00008A450000}"/>
    <cellStyle name="Normal 211 2 4 2 2" xfId="17803" xr:uid="{00000000-0005-0000-0000-00008B450000}"/>
    <cellStyle name="Normal 211 2 4 3" xfId="17804" xr:uid="{00000000-0005-0000-0000-00008C450000}"/>
    <cellStyle name="Normal 211 2 5" xfId="17805" xr:uid="{00000000-0005-0000-0000-00008D450000}"/>
    <cellStyle name="Normal 211 3" xfId="17806" xr:uid="{00000000-0005-0000-0000-00008E450000}"/>
    <cellStyle name="Normal 211 3 2" xfId="17807" xr:uid="{00000000-0005-0000-0000-00008F450000}"/>
    <cellStyle name="Normal 211 3 2 2" xfId="17808" xr:uid="{00000000-0005-0000-0000-000090450000}"/>
    <cellStyle name="Normal 211 3 2 2 2" xfId="17809" xr:uid="{00000000-0005-0000-0000-000091450000}"/>
    <cellStyle name="Normal 211 3 2 3" xfId="17810" xr:uid="{00000000-0005-0000-0000-000092450000}"/>
    <cellStyle name="Normal 211 3 2 3 2" xfId="17811" xr:uid="{00000000-0005-0000-0000-000093450000}"/>
    <cellStyle name="Normal 211 3 2 3 2 2" xfId="17812" xr:uid="{00000000-0005-0000-0000-000094450000}"/>
    <cellStyle name="Normal 211 3 2 3 3" xfId="17813" xr:uid="{00000000-0005-0000-0000-000095450000}"/>
    <cellStyle name="Normal 211 3 2 4" xfId="17814" xr:uid="{00000000-0005-0000-0000-000096450000}"/>
    <cellStyle name="Normal 211 3 3" xfId="17815" xr:uid="{00000000-0005-0000-0000-000097450000}"/>
    <cellStyle name="Normal 211 3 3 2" xfId="17816" xr:uid="{00000000-0005-0000-0000-000098450000}"/>
    <cellStyle name="Normal 211 3 3 2 2" xfId="17817" xr:uid="{00000000-0005-0000-0000-000099450000}"/>
    <cellStyle name="Normal 211 3 3 3" xfId="17818" xr:uid="{00000000-0005-0000-0000-00009A450000}"/>
    <cellStyle name="Normal 211 3 4" xfId="17819" xr:uid="{00000000-0005-0000-0000-00009B450000}"/>
    <cellStyle name="Normal 211 3 4 2" xfId="17820" xr:uid="{00000000-0005-0000-0000-00009C450000}"/>
    <cellStyle name="Normal 211 3 4 2 2" xfId="17821" xr:uid="{00000000-0005-0000-0000-00009D450000}"/>
    <cellStyle name="Normal 211 3 4 3" xfId="17822" xr:uid="{00000000-0005-0000-0000-00009E450000}"/>
    <cellStyle name="Normal 211 3 5" xfId="17823" xr:uid="{00000000-0005-0000-0000-00009F450000}"/>
    <cellStyle name="Normal 211 3 5 2" xfId="17824" xr:uid="{00000000-0005-0000-0000-0000A0450000}"/>
    <cellStyle name="Normal 211 3 5 2 2" xfId="17825" xr:uid="{00000000-0005-0000-0000-0000A1450000}"/>
    <cellStyle name="Normal 211 3 5 3" xfId="17826" xr:uid="{00000000-0005-0000-0000-0000A2450000}"/>
    <cellStyle name="Normal 211 3 6" xfId="17827" xr:uid="{00000000-0005-0000-0000-0000A3450000}"/>
    <cellStyle name="Normal 211 4" xfId="17828" xr:uid="{00000000-0005-0000-0000-0000A4450000}"/>
    <cellStyle name="Normal 211 4 2" xfId="17829" xr:uid="{00000000-0005-0000-0000-0000A5450000}"/>
    <cellStyle name="Normal 211 4 2 2" xfId="17830" xr:uid="{00000000-0005-0000-0000-0000A6450000}"/>
    <cellStyle name="Normal 211 4 3" xfId="17831" xr:uid="{00000000-0005-0000-0000-0000A7450000}"/>
    <cellStyle name="Normal 211 5" xfId="17832" xr:uid="{00000000-0005-0000-0000-0000A8450000}"/>
    <cellStyle name="Normal 211 5 2" xfId="17833" xr:uid="{00000000-0005-0000-0000-0000A9450000}"/>
    <cellStyle name="Normal 211 5 2 2" xfId="17834" xr:uid="{00000000-0005-0000-0000-0000AA450000}"/>
    <cellStyle name="Normal 211 5 3" xfId="17835" xr:uid="{00000000-0005-0000-0000-0000AB450000}"/>
    <cellStyle name="Normal 211 6" xfId="17836" xr:uid="{00000000-0005-0000-0000-0000AC450000}"/>
    <cellStyle name="Normal 211 6 2" xfId="17837" xr:uid="{00000000-0005-0000-0000-0000AD450000}"/>
    <cellStyle name="Normal 211 6 2 2" xfId="17838" xr:uid="{00000000-0005-0000-0000-0000AE450000}"/>
    <cellStyle name="Normal 211 6 3" xfId="17839" xr:uid="{00000000-0005-0000-0000-0000AF450000}"/>
    <cellStyle name="Normal 211 7" xfId="17840" xr:uid="{00000000-0005-0000-0000-0000B0450000}"/>
    <cellStyle name="Normal 212" xfId="17841" xr:uid="{00000000-0005-0000-0000-0000B1450000}"/>
    <cellStyle name="Normal 212 2" xfId="17842" xr:uid="{00000000-0005-0000-0000-0000B2450000}"/>
    <cellStyle name="Normal 212 2 2" xfId="17843" xr:uid="{00000000-0005-0000-0000-0000B3450000}"/>
    <cellStyle name="Normal 212 2 2 2" xfId="17844" xr:uid="{00000000-0005-0000-0000-0000B4450000}"/>
    <cellStyle name="Normal 212 2 3" xfId="17845" xr:uid="{00000000-0005-0000-0000-0000B5450000}"/>
    <cellStyle name="Normal 212 2 3 2" xfId="17846" xr:uid="{00000000-0005-0000-0000-0000B6450000}"/>
    <cellStyle name="Normal 212 2 3 2 2" xfId="17847" xr:uid="{00000000-0005-0000-0000-0000B7450000}"/>
    <cellStyle name="Normal 212 2 3 3" xfId="17848" xr:uid="{00000000-0005-0000-0000-0000B8450000}"/>
    <cellStyle name="Normal 212 2 4" xfId="17849" xr:uid="{00000000-0005-0000-0000-0000B9450000}"/>
    <cellStyle name="Normal 212 2 4 2" xfId="17850" xr:uid="{00000000-0005-0000-0000-0000BA450000}"/>
    <cellStyle name="Normal 212 2 4 2 2" xfId="17851" xr:uid="{00000000-0005-0000-0000-0000BB450000}"/>
    <cellStyle name="Normal 212 2 4 3" xfId="17852" xr:uid="{00000000-0005-0000-0000-0000BC450000}"/>
    <cellStyle name="Normal 212 2 5" xfId="17853" xr:uid="{00000000-0005-0000-0000-0000BD450000}"/>
    <cellStyle name="Normal 212 3" xfId="17854" xr:uid="{00000000-0005-0000-0000-0000BE450000}"/>
    <cellStyle name="Normal 212 3 2" xfId="17855" xr:uid="{00000000-0005-0000-0000-0000BF450000}"/>
    <cellStyle name="Normal 212 3 2 2" xfId="17856" xr:uid="{00000000-0005-0000-0000-0000C0450000}"/>
    <cellStyle name="Normal 212 3 2 2 2" xfId="17857" xr:uid="{00000000-0005-0000-0000-0000C1450000}"/>
    <cellStyle name="Normal 212 3 2 3" xfId="17858" xr:uid="{00000000-0005-0000-0000-0000C2450000}"/>
    <cellStyle name="Normal 212 3 2 3 2" xfId="17859" xr:uid="{00000000-0005-0000-0000-0000C3450000}"/>
    <cellStyle name="Normal 212 3 2 3 2 2" xfId="17860" xr:uid="{00000000-0005-0000-0000-0000C4450000}"/>
    <cellStyle name="Normal 212 3 2 3 3" xfId="17861" xr:uid="{00000000-0005-0000-0000-0000C5450000}"/>
    <cellStyle name="Normal 212 3 2 4" xfId="17862" xr:uid="{00000000-0005-0000-0000-0000C6450000}"/>
    <cellStyle name="Normal 212 3 3" xfId="17863" xr:uid="{00000000-0005-0000-0000-0000C7450000}"/>
    <cellStyle name="Normal 212 3 3 2" xfId="17864" xr:uid="{00000000-0005-0000-0000-0000C8450000}"/>
    <cellStyle name="Normal 212 3 3 2 2" xfId="17865" xr:uid="{00000000-0005-0000-0000-0000C9450000}"/>
    <cellStyle name="Normal 212 3 3 3" xfId="17866" xr:uid="{00000000-0005-0000-0000-0000CA450000}"/>
    <cellStyle name="Normal 212 3 4" xfId="17867" xr:uid="{00000000-0005-0000-0000-0000CB450000}"/>
    <cellStyle name="Normal 212 3 4 2" xfId="17868" xr:uid="{00000000-0005-0000-0000-0000CC450000}"/>
    <cellStyle name="Normal 212 3 4 2 2" xfId="17869" xr:uid="{00000000-0005-0000-0000-0000CD450000}"/>
    <cellStyle name="Normal 212 3 4 3" xfId="17870" xr:uid="{00000000-0005-0000-0000-0000CE450000}"/>
    <cellStyle name="Normal 212 3 5" xfId="17871" xr:uid="{00000000-0005-0000-0000-0000CF450000}"/>
    <cellStyle name="Normal 212 3 5 2" xfId="17872" xr:uid="{00000000-0005-0000-0000-0000D0450000}"/>
    <cellStyle name="Normal 212 3 5 2 2" xfId="17873" xr:uid="{00000000-0005-0000-0000-0000D1450000}"/>
    <cellStyle name="Normal 212 3 5 3" xfId="17874" xr:uid="{00000000-0005-0000-0000-0000D2450000}"/>
    <cellStyle name="Normal 212 3 6" xfId="17875" xr:uid="{00000000-0005-0000-0000-0000D3450000}"/>
    <cellStyle name="Normal 212 4" xfId="17876" xr:uid="{00000000-0005-0000-0000-0000D4450000}"/>
    <cellStyle name="Normal 212 4 2" xfId="17877" xr:uid="{00000000-0005-0000-0000-0000D5450000}"/>
    <cellStyle name="Normal 212 4 2 2" xfId="17878" xr:uid="{00000000-0005-0000-0000-0000D6450000}"/>
    <cellStyle name="Normal 212 4 3" xfId="17879" xr:uid="{00000000-0005-0000-0000-0000D7450000}"/>
    <cellStyle name="Normal 212 5" xfId="17880" xr:uid="{00000000-0005-0000-0000-0000D8450000}"/>
    <cellStyle name="Normal 212 5 2" xfId="17881" xr:uid="{00000000-0005-0000-0000-0000D9450000}"/>
    <cellStyle name="Normal 212 5 2 2" xfId="17882" xr:uid="{00000000-0005-0000-0000-0000DA450000}"/>
    <cellStyle name="Normal 212 5 3" xfId="17883" xr:uid="{00000000-0005-0000-0000-0000DB450000}"/>
    <cellStyle name="Normal 212 6" xfId="17884" xr:uid="{00000000-0005-0000-0000-0000DC450000}"/>
    <cellStyle name="Normal 212 6 2" xfId="17885" xr:uid="{00000000-0005-0000-0000-0000DD450000}"/>
    <cellStyle name="Normal 212 6 2 2" xfId="17886" xr:uid="{00000000-0005-0000-0000-0000DE450000}"/>
    <cellStyle name="Normal 212 6 3" xfId="17887" xr:uid="{00000000-0005-0000-0000-0000DF450000}"/>
    <cellStyle name="Normal 212 7" xfId="17888" xr:uid="{00000000-0005-0000-0000-0000E0450000}"/>
    <cellStyle name="Normal 213" xfId="17889" xr:uid="{00000000-0005-0000-0000-0000E1450000}"/>
    <cellStyle name="Normal 213 2" xfId="17890" xr:uid="{00000000-0005-0000-0000-0000E2450000}"/>
    <cellStyle name="Normal 213 2 2" xfId="17891" xr:uid="{00000000-0005-0000-0000-0000E3450000}"/>
    <cellStyle name="Normal 213 2 2 2" xfId="17892" xr:uid="{00000000-0005-0000-0000-0000E4450000}"/>
    <cellStyle name="Normal 213 2 3" xfId="17893" xr:uid="{00000000-0005-0000-0000-0000E5450000}"/>
    <cellStyle name="Normal 213 2 3 2" xfId="17894" xr:uid="{00000000-0005-0000-0000-0000E6450000}"/>
    <cellStyle name="Normal 213 2 3 2 2" xfId="17895" xr:uid="{00000000-0005-0000-0000-0000E7450000}"/>
    <cellStyle name="Normal 213 2 3 3" xfId="17896" xr:uid="{00000000-0005-0000-0000-0000E8450000}"/>
    <cellStyle name="Normal 213 2 4" xfId="17897" xr:uid="{00000000-0005-0000-0000-0000E9450000}"/>
    <cellStyle name="Normal 213 2 4 2" xfId="17898" xr:uid="{00000000-0005-0000-0000-0000EA450000}"/>
    <cellStyle name="Normal 213 2 4 2 2" xfId="17899" xr:uid="{00000000-0005-0000-0000-0000EB450000}"/>
    <cellStyle name="Normal 213 2 4 3" xfId="17900" xr:uid="{00000000-0005-0000-0000-0000EC450000}"/>
    <cellStyle name="Normal 213 2 5" xfId="17901" xr:uid="{00000000-0005-0000-0000-0000ED450000}"/>
    <cellStyle name="Normal 213 3" xfId="17902" xr:uid="{00000000-0005-0000-0000-0000EE450000}"/>
    <cellStyle name="Normal 213 3 2" xfId="17903" xr:uid="{00000000-0005-0000-0000-0000EF450000}"/>
    <cellStyle name="Normal 213 3 2 2" xfId="17904" xr:uid="{00000000-0005-0000-0000-0000F0450000}"/>
    <cellStyle name="Normal 213 3 2 2 2" xfId="17905" xr:uid="{00000000-0005-0000-0000-0000F1450000}"/>
    <cellStyle name="Normal 213 3 2 3" xfId="17906" xr:uid="{00000000-0005-0000-0000-0000F2450000}"/>
    <cellStyle name="Normal 213 3 2 3 2" xfId="17907" xr:uid="{00000000-0005-0000-0000-0000F3450000}"/>
    <cellStyle name="Normal 213 3 2 3 2 2" xfId="17908" xr:uid="{00000000-0005-0000-0000-0000F4450000}"/>
    <cellStyle name="Normal 213 3 2 3 3" xfId="17909" xr:uid="{00000000-0005-0000-0000-0000F5450000}"/>
    <cellStyle name="Normal 213 3 2 4" xfId="17910" xr:uid="{00000000-0005-0000-0000-0000F6450000}"/>
    <cellStyle name="Normal 213 3 3" xfId="17911" xr:uid="{00000000-0005-0000-0000-0000F7450000}"/>
    <cellStyle name="Normal 213 3 3 2" xfId="17912" xr:uid="{00000000-0005-0000-0000-0000F8450000}"/>
    <cellStyle name="Normal 213 3 3 2 2" xfId="17913" xr:uid="{00000000-0005-0000-0000-0000F9450000}"/>
    <cellStyle name="Normal 213 3 3 3" xfId="17914" xr:uid="{00000000-0005-0000-0000-0000FA450000}"/>
    <cellStyle name="Normal 213 3 4" xfId="17915" xr:uid="{00000000-0005-0000-0000-0000FB450000}"/>
    <cellStyle name="Normal 213 3 4 2" xfId="17916" xr:uid="{00000000-0005-0000-0000-0000FC450000}"/>
    <cellStyle name="Normal 213 3 4 2 2" xfId="17917" xr:uid="{00000000-0005-0000-0000-0000FD450000}"/>
    <cellStyle name="Normal 213 3 4 3" xfId="17918" xr:uid="{00000000-0005-0000-0000-0000FE450000}"/>
    <cellStyle name="Normal 213 3 5" xfId="17919" xr:uid="{00000000-0005-0000-0000-0000FF450000}"/>
    <cellStyle name="Normal 213 3 5 2" xfId="17920" xr:uid="{00000000-0005-0000-0000-000000460000}"/>
    <cellStyle name="Normal 213 3 5 2 2" xfId="17921" xr:uid="{00000000-0005-0000-0000-000001460000}"/>
    <cellStyle name="Normal 213 3 5 3" xfId="17922" xr:uid="{00000000-0005-0000-0000-000002460000}"/>
    <cellStyle name="Normal 213 3 6" xfId="17923" xr:uid="{00000000-0005-0000-0000-000003460000}"/>
    <cellStyle name="Normal 213 4" xfId="17924" xr:uid="{00000000-0005-0000-0000-000004460000}"/>
    <cellStyle name="Normal 213 4 2" xfId="17925" xr:uid="{00000000-0005-0000-0000-000005460000}"/>
    <cellStyle name="Normal 213 4 2 2" xfId="17926" xr:uid="{00000000-0005-0000-0000-000006460000}"/>
    <cellStyle name="Normal 213 4 3" xfId="17927" xr:uid="{00000000-0005-0000-0000-000007460000}"/>
    <cellStyle name="Normal 213 5" xfId="17928" xr:uid="{00000000-0005-0000-0000-000008460000}"/>
    <cellStyle name="Normal 213 5 2" xfId="17929" xr:uid="{00000000-0005-0000-0000-000009460000}"/>
    <cellStyle name="Normal 213 5 2 2" xfId="17930" xr:uid="{00000000-0005-0000-0000-00000A460000}"/>
    <cellStyle name="Normal 213 5 3" xfId="17931" xr:uid="{00000000-0005-0000-0000-00000B460000}"/>
    <cellStyle name="Normal 213 6" xfId="17932" xr:uid="{00000000-0005-0000-0000-00000C460000}"/>
    <cellStyle name="Normal 213 6 2" xfId="17933" xr:uid="{00000000-0005-0000-0000-00000D460000}"/>
    <cellStyle name="Normal 213 6 2 2" xfId="17934" xr:uid="{00000000-0005-0000-0000-00000E460000}"/>
    <cellStyle name="Normal 213 6 3" xfId="17935" xr:uid="{00000000-0005-0000-0000-00000F460000}"/>
    <cellStyle name="Normal 213 7" xfId="17936" xr:uid="{00000000-0005-0000-0000-000010460000}"/>
    <cellStyle name="Normal 214" xfId="17937" xr:uid="{00000000-0005-0000-0000-000011460000}"/>
    <cellStyle name="Normal 214 2" xfId="17938" xr:uid="{00000000-0005-0000-0000-000012460000}"/>
    <cellStyle name="Normal 214 2 2" xfId="17939" xr:uid="{00000000-0005-0000-0000-000013460000}"/>
    <cellStyle name="Normal 214 2 2 2" xfId="17940" xr:uid="{00000000-0005-0000-0000-000014460000}"/>
    <cellStyle name="Normal 214 2 3" xfId="17941" xr:uid="{00000000-0005-0000-0000-000015460000}"/>
    <cellStyle name="Normal 214 2 3 2" xfId="17942" xr:uid="{00000000-0005-0000-0000-000016460000}"/>
    <cellStyle name="Normal 214 2 3 2 2" xfId="17943" xr:uid="{00000000-0005-0000-0000-000017460000}"/>
    <cellStyle name="Normal 214 2 3 3" xfId="17944" xr:uid="{00000000-0005-0000-0000-000018460000}"/>
    <cellStyle name="Normal 214 2 4" xfId="17945" xr:uid="{00000000-0005-0000-0000-000019460000}"/>
    <cellStyle name="Normal 214 2 4 2" xfId="17946" xr:uid="{00000000-0005-0000-0000-00001A460000}"/>
    <cellStyle name="Normal 214 2 4 2 2" xfId="17947" xr:uid="{00000000-0005-0000-0000-00001B460000}"/>
    <cellStyle name="Normal 214 2 4 3" xfId="17948" xr:uid="{00000000-0005-0000-0000-00001C460000}"/>
    <cellStyle name="Normal 214 2 5" xfId="17949" xr:uid="{00000000-0005-0000-0000-00001D460000}"/>
    <cellStyle name="Normal 214 3" xfId="17950" xr:uid="{00000000-0005-0000-0000-00001E460000}"/>
    <cellStyle name="Normal 214 3 2" xfId="17951" xr:uid="{00000000-0005-0000-0000-00001F460000}"/>
    <cellStyle name="Normal 214 3 2 2" xfId="17952" xr:uid="{00000000-0005-0000-0000-000020460000}"/>
    <cellStyle name="Normal 214 3 2 2 2" xfId="17953" xr:uid="{00000000-0005-0000-0000-000021460000}"/>
    <cellStyle name="Normal 214 3 2 3" xfId="17954" xr:uid="{00000000-0005-0000-0000-000022460000}"/>
    <cellStyle name="Normal 214 3 2 3 2" xfId="17955" xr:uid="{00000000-0005-0000-0000-000023460000}"/>
    <cellStyle name="Normal 214 3 2 3 2 2" xfId="17956" xr:uid="{00000000-0005-0000-0000-000024460000}"/>
    <cellStyle name="Normal 214 3 2 3 3" xfId="17957" xr:uid="{00000000-0005-0000-0000-000025460000}"/>
    <cellStyle name="Normal 214 3 2 4" xfId="17958" xr:uid="{00000000-0005-0000-0000-000026460000}"/>
    <cellStyle name="Normal 214 3 3" xfId="17959" xr:uid="{00000000-0005-0000-0000-000027460000}"/>
    <cellStyle name="Normal 214 3 3 2" xfId="17960" xr:uid="{00000000-0005-0000-0000-000028460000}"/>
    <cellStyle name="Normal 214 3 3 2 2" xfId="17961" xr:uid="{00000000-0005-0000-0000-000029460000}"/>
    <cellStyle name="Normal 214 3 3 3" xfId="17962" xr:uid="{00000000-0005-0000-0000-00002A460000}"/>
    <cellStyle name="Normal 214 3 4" xfId="17963" xr:uid="{00000000-0005-0000-0000-00002B460000}"/>
    <cellStyle name="Normal 214 3 4 2" xfId="17964" xr:uid="{00000000-0005-0000-0000-00002C460000}"/>
    <cellStyle name="Normal 214 3 4 2 2" xfId="17965" xr:uid="{00000000-0005-0000-0000-00002D460000}"/>
    <cellStyle name="Normal 214 3 4 3" xfId="17966" xr:uid="{00000000-0005-0000-0000-00002E460000}"/>
    <cellStyle name="Normal 214 3 5" xfId="17967" xr:uid="{00000000-0005-0000-0000-00002F460000}"/>
    <cellStyle name="Normal 214 3 5 2" xfId="17968" xr:uid="{00000000-0005-0000-0000-000030460000}"/>
    <cellStyle name="Normal 214 3 5 2 2" xfId="17969" xr:uid="{00000000-0005-0000-0000-000031460000}"/>
    <cellStyle name="Normal 214 3 5 3" xfId="17970" xr:uid="{00000000-0005-0000-0000-000032460000}"/>
    <cellStyle name="Normal 214 3 6" xfId="17971" xr:uid="{00000000-0005-0000-0000-000033460000}"/>
    <cellStyle name="Normal 214 4" xfId="17972" xr:uid="{00000000-0005-0000-0000-000034460000}"/>
    <cellStyle name="Normal 214 4 2" xfId="17973" xr:uid="{00000000-0005-0000-0000-000035460000}"/>
    <cellStyle name="Normal 214 4 2 2" xfId="17974" xr:uid="{00000000-0005-0000-0000-000036460000}"/>
    <cellStyle name="Normal 214 4 3" xfId="17975" xr:uid="{00000000-0005-0000-0000-000037460000}"/>
    <cellStyle name="Normal 214 5" xfId="17976" xr:uid="{00000000-0005-0000-0000-000038460000}"/>
    <cellStyle name="Normal 214 5 2" xfId="17977" xr:uid="{00000000-0005-0000-0000-000039460000}"/>
    <cellStyle name="Normal 214 5 2 2" xfId="17978" xr:uid="{00000000-0005-0000-0000-00003A460000}"/>
    <cellStyle name="Normal 214 5 3" xfId="17979" xr:uid="{00000000-0005-0000-0000-00003B460000}"/>
    <cellStyle name="Normal 214 6" xfId="17980" xr:uid="{00000000-0005-0000-0000-00003C460000}"/>
    <cellStyle name="Normal 214 6 2" xfId="17981" xr:uid="{00000000-0005-0000-0000-00003D460000}"/>
    <cellStyle name="Normal 214 6 2 2" xfId="17982" xr:uid="{00000000-0005-0000-0000-00003E460000}"/>
    <cellStyle name="Normal 214 6 3" xfId="17983" xr:uid="{00000000-0005-0000-0000-00003F460000}"/>
    <cellStyle name="Normal 214 7" xfId="17984" xr:uid="{00000000-0005-0000-0000-000040460000}"/>
    <cellStyle name="Normal 215" xfId="17985" xr:uid="{00000000-0005-0000-0000-000041460000}"/>
    <cellStyle name="Normal 215 2" xfId="17986" xr:uid="{00000000-0005-0000-0000-000042460000}"/>
    <cellStyle name="Normal 215 2 2" xfId="17987" xr:uid="{00000000-0005-0000-0000-000043460000}"/>
    <cellStyle name="Normal 215 2 2 2" xfId="17988" xr:uid="{00000000-0005-0000-0000-000044460000}"/>
    <cellStyle name="Normal 215 2 3" xfId="17989" xr:uid="{00000000-0005-0000-0000-000045460000}"/>
    <cellStyle name="Normal 215 2 3 2" xfId="17990" xr:uid="{00000000-0005-0000-0000-000046460000}"/>
    <cellStyle name="Normal 215 2 3 2 2" xfId="17991" xr:uid="{00000000-0005-0000-0000-000047460000}"/>
    <cellStyle name="Normal 215 2 3 3" xfId="17992" xr:uid="{00000000-0005-0000-0000-000048460000}"/>
    <cellStyle name="Normal 215 2 4" xfId="17993" xr:uid="{00000000-0005-0000-0000-000049460000}"/>
    <cellStyle name="Normal 215 2 4 2" xfId="17994" xr:uid="{00000000-0005-0000-0000-00004A460000}"/>
    <cellStyle name="Normal 215 2 4 2 2" xfId="17995" xr:uid="{00000000-0005-0000-0000-00004B460000}"/>
    <cellStyle name="Normal 215 2 4 3" xfId="17996" xr:uid="{00000000-0005-0000-0000-00004C460000}"/>
    <cellStyle name="Normal 215 2 5" xfId="17997" xr:uid="{00000000-0005-0000-0000-00004D460000}"/>
    <cellStyle name="Normal 215 3" xfId="17998" xr:uid="{00000000-0005-0000-0000-00004E460000}"/>
    <cellStyle name="Normal 215 3 2" xfId="17999" xr:uid="{00000000-0005-0000-0000-00004F460000}"/>
    <cellStyle name="Normal 215 3 2 2" xfId="18000" xr:uid="{00000000-0005-0000-0000-000050460000}"/>
    <cellStyle name="Normal 215 3 2 2 2" xfId="18001" xr:uid="{00000000-0005-0000-0000-000051460000}"/>
    <cellStyle name="Normal 215 3 2 3" xfId="18002" xr:uid="{00000000-0005-0000-0000-000052460000}"/>
    <cellStyle name="Normal 215 3 2 3 2" xfId="18003" xr:uid="{00000000-0005-0000-0000-000053460000}"/>
    <cellStyle name="Normal 215 3 2 3 2 2" xfId="18004" xr:uid="{00000000-0005-0000-0000-000054460000}"/>
    <cellStyle name="Normal 215 3 2 3 3" xfId="18005" xr:uid="{00000000-0005-0000-0000-000055460000}"/>
    <cellStyle name="Normal 215 3 2 4" xfId="18006" xr:uid="{00000000-0005-0000-0000-000056460000}"/>
    <cellStyle name="Normal 215 3 3" xfId="18007" xr:uid="{00000000-0005-0000-0000-000057460000}"/>
    <cellStyle name="Normal 215 3 3 2" xfId="18008" xr:uid="{00000000-0005-0000-0000-000058460000}"/>
    <cellStyle name="Normal 215 3 3 2 2" xfId="18009" xr:uid="{00000000-0005-0000-0000-000059460000}"/>
    <cellStyle name="Normal 215 3 3 3" xfId="18010" xr:uid="{00000000-0005-0000-0000-00005A460000}"/>
    <cellStyle name="Normal 215 3 4" xfId="18011" xr:uid="{00000000-0005-0000-0000-00005B460000}"/>
    <cellStyle name="Normal 215 3 4 2" xfId="18012" xr:uid="{00000000-0005-0000-0000-00005C460000}"/>
    <cellStyle name="Normal 215 3 4 2 2" xfId="18013" xr:uid="{00000000-0005-0000-0000-00005D460000}"/>
    <cellStyle name="Normal 215 3 4 3" xfId="18014" xr:uid="{00000000-0005-0000-0000-00005E460000}"/>
    <cellStyle name="Normal 215 3 5" xfId="18015" xr:uid="{00000000-0005-0000-0000-00005F460000}"/>
    <cellStyle name="Normal 215 3 5 2" xfId="18016" xr:uid="{00000000-0005-0000-0000-000060460000}"/>
    <cellStyle name="Normal 215 3 5 2 2" xfId="18017" xr:uid="{00000000-0005-0000-0000-000061460000}"/>
    <cellStyle name="Normal 215 3 5 3" xfId="18018" xr:uid="{00000000-0005-0000-0000-000062460000}"/>
    <cellStyle name="Normal 215 3 6" xfId="18019" xr:uid="{00000000-0005-0000-0000-000063460000}"/>
    <cellStyle name="Normal 215 4" xfId="18020" xr:uid="{00000000-0005-0000-0000-000064460000}"/>
    <cellStyle name="Normal 215 4 2" xfId="18021" xr:uid="{00000000-0005-0000-0000-000065460000}"/>
    <cellStyle name="Normal 215 4 2 2" xfId="18022" xr:uid="{00000000-0005-0000-0000-000066460000}"/>
    <cellStyle name="Normal 215 4 3" xfId="18023" xr:uid="{00000000-0005-0000-0000-000067460000}"/>
    <cellStyle name="Normal 215 5" xfId="18024" xr:uid="{00000000-0005-0000-0000-000068460000}"/>
    <cellStyle name="Normal 215 5 2" xfId="18025" xr:uid="{00000000-0005-0000-0000-000069460000}"/>
    <cellStyle name="Normal 215 5 2 2" xfId="18026" xr:uid="{00000000-0005-0000-0000-00006A460000}"/>
    <cellStyle name="Normal 215 5 3" xfId="18027" xr:uid="{00000000-0005-0000-0000-00006B460000}"/>
    <cellStyle name="Normal 215 6" xfId="18028" xr:uid="{00000000-0005-0000-0000-00006C460000}"/>
    <cellStyle name="Normal 215 6 2" xfId="18029" xr:uid="{00000000-0005-0000-0000-00006D460000}"/>
    <cellStyle name="Normal 215 6 2 2" xfId="18030" xr:uid="{00000000-0005-0000-0000-00006E460000}"/>
    <cellStyle name="Normal 215 6 3" xfId="18031" xr:uid="{00000000-0005-0000-0000-00006F460000}"/>
    <cellStyle name="Normal 215 7" xfId="18032" xr:uid="{00000000-0005-0000-0000-000070460000}"/>
    <cellStyle name="Normal 216" xfId="18033" xr:uid="{00000000-0005-0000-0000-000071460000}"/>
    <cellStyle name="Normal 216 2" xfId="18034" xr:uid="{00000000-0005-0000-0000-000072460000}"/>
    <cellStyle name="Normal 216 2 2" xfId="18035" xr:uid="{00000000-0005-0000-0000-000073460000}"/>
    <cellStyle name="Normal 216 2 2 2" xfId="18036" xr:uid="{00000000-0005-0000-0000-000074460000}"/>
    <cellStyle name="Normal 216 2 3" xfId="18037" xr:uid="{00000000-0005-0000-0000-000075460000}"/>
    <cellStyle name="Normal 216 2 3 2" xfId="18038" xr:uid="{00000000-0005-0000-0000-000076460000}"/>
    <cellStyle name="Normal 216 2 3 2 2" xfId="18039" xr:uid="{00000000-0005-0000-0000-000077460000}"/>
    <cellStyle name="Normal 216 2 3 3" xfId="18040" xr:uid="{00000000-0005-0000-0000-000078460000}"/>
    <cellStyle name="Normal 216 2 4" xfId="18041" xr:uid="{00000000-0005-0000-0000-000079460000}"/>
    <cellStyle name="Normal 216 2 4 2" xfId="18042" xr:uid="{00000000-0005-0000-0000-00007A460000}"/>
    <cellStyle name="Normal 216 2 4 2 2" xfId="18043" xr:uid="{00000000-0005-0000-0000-00007B460000}"/>
    <cellStyle name="Normal 216 2 4 3" xfId="18044" xr:uid="{00000000-0005-0000-0000-00007C460000}"/>
    <cellStyle name="Normal 216 2 5" xfId="18045" xr:uid="{00000000-0005-0000-0000-00007D460000}"/>
    <cellStyle name="Normal 216 3" xfId="18046" xr:uid="{00000000-0005-0000-0000-00007E460000}"/>
    <cellStyle name="Normal 216 3 2" xfId="18047" xr:uid="{00000000-0005-0000-0000-00007F460000}"/>
    <cellStyle name="Normal 216 3 2 2" xfId="18048" xr:uid="{00000000-0005-0000-0000-000080460000}"/>
    <cellStyle name="Normal 216 3 2 2 2" xfId="18049" xr:uid="{00000000-0005-0000-0000-000081460000}"/>
    <cellStyle name="Normal 216 3 2 3" xfId="18050" xr:uid="{00000000-0005-0000-0000-000082460000}"/>
    <cellStyle name="Normal 216 3 2 3 2" xfId="18051" xr:uid="{00000000-0005-0000-0000-000083460000}"/>
    <cellStyle name="Normal 216 3 2 3 2 2" xfId="18052" xr:uid="{00000000-0005-0000-0000-000084460000}"/>
    <cellStyle name="Normal 216 3 2 3 3" xfId="18053" xr:uid="{00000000-0005-0000-0000-000085460000}"/>
    <cellStyle name="Normal 216 3 2 4" xfId="18054" xr:uid="{00000000-0005-0000-0000-000086460000}"/>
    <cellStyle name="Normal 216 3 3" xfId="18055" xr:uid="{00000000-0005-0000-0000-000087460000}"/>
    <cellStyle name="Normal 216 3 3 2" xfId="18056" xr:uid="{00000000-0005-0000-0000-000088460000}"/>
    <cellStyle name="Normal 216 3 3 2 2" xfId="18057" xr:uid="{00000000-0005-0000-0000-000089460000}"/>
    <cellStyle name="Normal 216 3 3 3" xfId="18058" xr:uid="{00000000-0005-0000-0000-00008A460000}"/>
    <cellStyle name="Normal 216 3 4" xfId="18059" xr:uid="{00000000-0005-0000-0000-00008B460000}"/>
    <cellStyle name="Normal 216 3 4 2" xfId="18060" xr:uid="{00000000-0005-0000-0000-00008C460000}"/>
    <cellStyle name="Normal 216 3 4 2 2" xfId="18061" xr:uid="{00000000-0005-0000-0000-00008D460000}"/>
    <cellStyle name="Normal 216 3 4 3" xfId="18062" xr:uid="{00000000-0005-0000-0000-00008E460000}"/>
    <cellStyle name="Normal 216 3 5" xfId="18063" xr:uid="{00000000-0005-0000-0000-00008F460000}"/>
    <cellStyle name="Normal 216 3 5 2" xfId="18064" xr:uid="{00000000-0005-0000-0000-000090460000}"/>
    <cellStyle name="Normal 216 3 5 2 2" xfId="18065" xr:uid="{00000000-0005-0000-0000-000091460000}"/>
    <cellStyle name="Normal 216 3 5 3" xfId="18066" xr:uid="{00000000-0005-0000-0000-000092460000}"/>
    <cellStyle name="Normal 216 3 6" xfId="18067" xr:uid="{00000000-0005-0000-0000-000093460000}"/>
    <cellStyle name="Normal 216 4" xfId="18068" xr:uid="{00000000-0005-0000-0000-000094460000}"/>
    <cellStyle name="Normal 216 4 2" xfId="18069" xr:uid="{00000000-0005-0000-0000-000095460000}"/>
    <cellStyle name="Normal 216 4 2 2" xfId="18070" xr:uid="{00000000-0005-0000-0000-000096460000}"/>
    <cellStyle name="Normal 216 4 3" xfId="18071" xr:uid="{00000000-0005-0000-0000-000097460000}"/>
    <cellStyle name="Normal 216 5" xfId="18072" xr:uid="{00000000-0005-0000-0000-000098460000}"/>
    <cellStyle name="Normal 216 5 2" xfId="18073" xr:uid="{00000000-0005-0000-0000-000099460000}"/>
    <cellStyle name="Normal 216 5 2 2" xfId="18074" xr:uid="{00000000-0005-0000-0000-00009A460000}"/>
    <cellStyle name="Normal 216 5 3" xfId="18075" xr:uid="{00000000-0005-0000-0000-00009B460000}"/>
    <cellStyle name="Normal 216 6" xfId="18076" xr:uid="{00000000-0005-0000-0000-00009C460000}"/>
    <cellStyle name="Normal 216 6 2" xfId="18077" xr:uid="{00000000-0005-0000-0000-00009D460000}"/>
    <cellStyle name="Normal 216 6 2 2" xfId="18078" xr:uid="{00000000-0005-0000-0000-00009E460000}"/>
    <cellStyle name="Normal 216 6 3" xfId="18079" xr:uid="{00000000-0005-0000-0000-00009F460000}"/>
    <cellStyle name="Normal 216 7" xfId="18080" xr:uid="{00000000-0005-0000-0000-0000A0460000}"/>
    <cellStyle name="Normal 217" xfId="18081" xr:uid="{00000000-0005-0000-0000-0000A1460000}"/>
    <cellStyle name="Normal 217 2" xfId="18082" xr:uid="{00000000-0005-0000-0000-0000A2460000}"/>
    <cellStyle name="Normal 217 2 2" xfId="18083" xr:uid="{00000000-0005-0000-0000-0000A3460000}"/>
    <cellStyle name="Normal 217 2 2 2" xfId="18084" xr:uid="{00000000-0005-0000-0000-0000A4460000}"/>
    <cellStyle name="Normal 217 2 2 2 2" xfId="18085" xr:uid="{00000000-0005-0000-0000-0000A5460000}"/>
    <cellStyle name="Normal 217 2 2 3" xfId="18086" xr:uid="{00000000-0005-0000-0000-0000A6460000}"/>
    <cellStyle name="Normal 217 2 2 3 2" xfId="18087" xr:uid="{00000000-0005-0000-0000-0000A7460000}"/>
    <cellStyle name="Normal 217 2 2 3 2 2" xfId="18088" xr:uid="{00000000-0005-0000-0000-0000A8460000}"/>
    <cellStyle name="Normal 217 2 2 3 3" xfId="18089" xr:uid="{00000000-0005-0000-0000-0000A9460000}"/>
    <cellStyle name="Normal 217 2 2 4" xfId="18090" xr:uid="{00000000-0005-0000-0000-0000AA460000}"/>
    <cellStyle name="Normal 217 2 2 4 2" xfId="18091" xr:uid="{00000000-0005-0000-0000-0000AB460000}"/>
    <cellStyle name="Normal 217 2 2 4 2 2" xfId="18092" xr:uid="{00000000-0005-0000-0000-0000AC460000}"/>
    <cellStyle name="Normal 217 2 2 4 3" xfId="18093" xr:uid="{00000000-0005-0000-0000-0000AD460000}"/>
    <cellStyle name="Normal 217 2 2 5" xfId="18094" xr:uid="{00000000-0005-0000-0000-0000AE460000}"/>
    <cellStyle name="Normal 217 2 3" xfId="18095" xr:uid="{00000000-0005-0000-0000-0000AF460000}"/>
    <cellStyle name="Normal 217 2 3 2" xfId="18096" xr:uid="{00000000-0005-0000-0000-0000B0460000}"/>
    <cellStyle name="Normal 217 2 3 2 2" xfId="18097" xr:uid="{00000000-0005-0000-0000-0000B1460000}"/>
    <cellStyle name="Normal 217 2 3 2 2 2" xfId="18098" xr:uid="{00000000-0005-0000-0000-0000B2460000}"/>
    <cellStyle name="Normal 217 2 3 2 3" xfId="18099" xr:uid="{00000000-0005-0000-0000-0000B3460000}"/>
    <cellStyle name="Normal 217 2 3 2 3 2" xfId="18100" xr:uid="{00000000-0005-0000-0000-0000B4460000}"/>
    <cellStyle name="Normal 217 2 3 2 3 2 2" xfId="18101" xr:uid="{00000000-0005-0000-0000-0000B5460000}"/>
    <cellStyle name="Normal 217 2 3 2 3 3" xfId="18102" xr:uid="{00000000-0005-0000-0000-0000B6460000}"/>
    <cellStyle name="Normal 217 2 3 2 4" xfId="18103" xr:uid="{00000000-0005-0000-0000-0000B7460000}"/>
    <cellStyle name="Normal 217 2 3 3" xfId="18104" xr:uid="{00000000-0005-0000-0000-0000B8460000}"/>
    <cellStyle name="Normal 217 2 3 3 2" xfId="18105" xr:uid="{00000000-0005-0000-0000-0000B9460000}"/>
    <cellStyle name="Normal 217 2 3 3 2 2" xfId="18106" xr:uid="{00000000-0005-0000-0000-0000BA460000}"/>
    <cellStyle name="Normal 217 2 3 3 3" xfId="18107" xr:uid="{00000000-0005-0000-0000-0000BB460000}"/>
    <cellStyle name="Normal 217 2 3 4" xfId="18108" xr:uid="{00000000-0005-0000-0000-0000BC460000}"/>
    <cellStyle name="Normal 217 2 3 4 2" xfId="18109" xr:uid="{00000000-0005-0000-0000-0000BD460000}"/>
    <cellStyle name="Normal 217 2 3 4 2 2" xfId="18110" xr:uid="{00000000-0005-0000-0000-0000BE460000}"/>
    <cellStyle name="Normal 217 2 3 4 3" xfId="18111" xr:uid="{00000000-0005-0000-0000-0000BF460000}"/>
    <cellStyle name="Normal 217 2 3 5" xfId="18112" xr:uid="{00000000-0005-0000-0000-0000C0460000}"/>
    <cellStyle name="Normal 217 2 3 5 2" xfId="18113" xr:uid="{00000000-0005-0000-0000-0000C1460000}"/>
    <cellStyle name="Normal 217 2 3 5 2 2" xfId="18114" xr:uid="{00000000-0005-0000-0000-0000C2460000}"/>
    <cellStyle name="Normal 217 2 3 5 3" xfId="18115" xr:uid="{00000000-0005-0000-0000-0000C3460000}"/>
    <cellStyle name="Normal 217 2 3 6" xfId="18116" xr:uid="{00000000-0005-0000-0000-0000C4460000}"/>
    <cellStyle name="Normal 217 2 4" xfId="18117" xr:uid="{00000000-0005-0000-0000-0000C5460000}"/>
    <cellStyle name="Normal 217 2 4 2" xfId="18118" xr:uid="{00000000-0005-0000-0000-0000C6460000}"/>
    <cellStyle name="Normal 217 2 4 2 2" xfId="18119" xr:uid="{00000000-0005-0000-0000-0000C7460000}"/>
    <cellStyle name="Normal 217 2 4 3" xfId="18120" xr:uid="{00000000-0005-0000-0000-0000C8460000}"/>
    <cellStyle name="Normal 217 2 5" xfId="18121" xr:uid="{00000000-0005-0000-0000-0000C9460000}"/>
    <cellStyle name="Normal 217 2 5 2" xfId="18122" xr:uid="{00000000-0005-0000-0000-0000CA460000}"/>
    <cellStyle name="Normal 217 2 5 2 2" xfId="18123" xr:uid="{00000000-0005-0000-0000-0000CB460000}"/>
    <cellStyle name="Normal 217 2 5 3" xfId="18124" xr:uid="{00000000-0005-0000-0000-0000CC460000}"/>
    <cellStyle name="Normal 217 2 6" xfId="18125" xr:uid="{00000000-0005-0000-0000-0000CD460000}"/>
    <cellStyle name="Normal 217 2 6 2" xfId="18126" xr:uid="{00000000-0005-0000-0000-0000CE460000}"/>
    <cellStyle name="Normal 217 2 6 2 2" xfId="18127" xr:uid="{00000000-0005-0000-0000-0000CF460000}"/>
    <cellStyle name="Normal 217 2 6 3" xfId="18128" xr:uid="{00000000-0005-0000-0000-0000D0460000}"/>
    <cellStyle name="Normal 217 2 7" xfId="18129" xr:uid="{00000000-0005-0000-0000-0000D1460000}"/>
    <cellStyle name="Normal 217 3" xfId="18130" xr:uid="{00000000-0005-0000-0000-0000D2460000}"/>
    <cellStyle name="Normal 217 3 2" xfId="18131" xr:uid="{00000000-0005-0000-0000-0000D3460000}"/>
    <cellStyle name="Normal 217 3 2 2" xfId="18132" xr:uid="{00000000-0005-0000-0000-0000D4460000}"/>
    <cellStyle name="Normal 217 3 3" xfId="18133" xr:uid="{00000000-0005-0000-0000-0000D5460000}"/>
    <cellStyle name="Normal 217 3 3 2" xfId="18134" xr:uid="{00000000-0005-0000-0000-0000D6460000}"/>
    <cellStyle name="Normal 217 3 3 2 2" xfId="18135" xr:uid="{00000000-0005-0000-0000-0000D7460000}"/>
    <cellStyle name="Normal 217 3 3 3" xfId="18136" xr:uid="{00000000-0005-0000-0000-0000D8460000}"/>
    <cellStyle name="Normal 217 3 4" xfId="18137" xr:uid="{00000000-0005-0000-0000-0000D9460000}"/>
    <cellStyle name="Normal 217 3 4 2" xfId="18138" xr:uid="{00000000-0005-0000-0000-0000DA460000}"/>
    <cellStyle name="Normal 217 3 4 2 2" xfId="18139" xr:uid="{00000000-0005-0000-0000-0000DB460000}"/>
    <cellStyle name="Normal 217 3 4 3" xfId="18140" xr:uid="{00000000-0005-0000-0000-0000DC460000}"/>
    <cellStyle name="Normal 217 3 5" xfId="18141" xr:uid="{00000000-0005-0000-0000-0000DD460000}"/>
    <cellStyle name="Normal 217 4" xfId="18142" xr:uid="{00000000-0005-0000-0000-0000DE460000}"/>
    <cellStyle name="Normal 217 4 2" xfId="18143" xr:uid="{00000000-0005-0000-0000-0000DF460000}"/>
    <cellStyle name="Normal 217 4 2 2" xfId="18144" xr:uid="{00000000-0005-0000-0000-0000E0460000}"/>
    <cellStyle name="Normal 217 4 2 2 2" xfId="18145" xr:uid="{00000000-0005-0000-0000-0000E1460000}"/>
    <cellStyle name="Normal 217 4 2 3" xfId="18146" xr:uid="{00000000-0005-0000-0000-0000E2460000}"/>
    <cellStyle name="Normal 217 4 2 3 2" xfId="18147" xr:uid="{00000000-0005-0000-0000-0000E3460000}"/>
    <cellStyle name="Normal 217 4 2 3 2 2" xfId="18148" xr:uid="{00000000-0005-0000-0000-0000E4460000}"/>
    <cellStyle name="Normal 217 4 2 3 3" xfId="18149" xr:uid="{00000000-0005-0000-0000-0000E5460000}"/>
    <cellStyle name="Normal 217 4 2 4" xfId="18150" xr:uid="{00000000-0005-0000-0000-0000E6460000}"/>
    <cellStyle name="Normal 217 4 3" xfId="18151" xr:uid="{00000000-0005-0000-0000-0000E7460000}"/>
    <cellStyle name="Normal 217 4 3 2" xfId="18152" xr:uid="{00000000-0005-0000-0000-0000E8460000}"/>
    <cellStyle name="Normal 217 4 3 2 2" xfId="18153" xr:uid="{00000000-0005-0000-0000-0000E9460000}"/>
    <cellStyle name="Normal 217 4 3 3" xfId="18154" xr:uid="{00000000-0005-0000-0000-0000EA460000}"/>
    <cellStyle name="Normal 217 4 4" xfId="18155" xr:uid="{00000000-0005-0000-0000-0000EB460000}"/>
    <cellStyle name="Normal 217 4 4 2" xfId="18156" xr:uid="{00000000-0005-0000-0000-0000EC460000}"/>
    <cellStyle name="Normal 217 4 4 2 2" xfId="18157" xr:uid="{00000000-0005-0000-0000-0000ED460000}"/>
    <cellStyle name="Normal 217 4 4 3" xfId="18158" xr:uid="{00000000-0005-0000-0000-0000EE460000}"/>
    <cellStyle name="Normal 217 4 5" xfId="18159" xr:uid="{00000000-0005-0000-0000-0000EF460000}"/>
    <cellStyle name="Normal 217 4 5 2" xfId="18160" xr:uid="{00000000-0005-0000-0000-0000F0460000}"/>
    <cellStyle name="Normal 217 4 5 2 2" xfId="18161" xr:uid="{00000000-0005-0000-0000-0000F1460000}"/>
    <cellStyle name="Normal 217 4 5 3" xfId="18162" xr:uid="{00000000-0005-0000-0000-0000F2460000}"/>
    <cellStyle name="Normal 217 4 6" xfId="18163" xr:uid="{00000000-0005-0000-0000-0000F3460000}"/>
    <cellStyle name="Normal 217 5" xfId="18164" xr:uid="{00000000-0005-0000-0000-0000F4460000}"/>
    <cellStyle name="Normal 217 5 2" xfId="18165" xr:uid="{00000000-0005-0000-0000-0000F5460000}"/>
    <cellStyle name="Normal 217 5 2 2" xfId="18166" xr:uid="{00000000-0005-0000-0000-0000F6460000}"/>
    <cellStyle name="Normal 217 5 3" xfId="18167" xr:uid="{00000000-0005-0000-0000-0000F7460000}"/>
    <cellStyle name="Normal 217 6" xfId="18168" xr:uid="{00000000-0005-0000-0000-0000F8460000}"/>
    <cellStyle name="Normal 217 6 2" xfId="18169" xr:uid="{00000000-0005-0000-0000-0000F9460000}"/>
    <cellStyle name="Normal 217 6 2 2" xfId="18170" xr:uid="{00000000-0005-0000-0000-0000FA460000}"/>
    <cellStyle name="Normal 217 6 3" xfId="18171" xr:uid="{00000000-0005-0000-0000-0000FB460000}"/>
    <cellStyle name="Normal 217 7" xfId="18172" xr:uid="{00000000-0005-0000-0000-0000FC460000}"/>
    <cellStyle name="Normal 217 7 2" xfId="18173" xr:uid="{00000000-0005-0000-0000-0000FD460000}"/>
    <cellStyle name="Normal 217 7 2 2" xfId="18174" xr:uid="{00000000-0005-0000-0000-0000FE460000}"/>
    <cellStyle name="Normal 217 7 3" xfId="18175" xr:uid="{00000000-0005-0000-0000-0000FF460000}"/>
    <cellStyle name="Normal 217 8" xfId="18176" xr:uid="{00000000-0005-0000-0000-000000470000}"/>
    <cellStyle name="Normal 218" xfId="18177" xr:uid="{00000000-0005-0000-0000-000001470000}"/>
    <cellStyle name="Normal 218 2" xfId="18178" xr:uid="{00000000-0005-0000-0000-000002470000}"/>
    <cellStyle name="Normal 218 2 2" xfId="18179" xr:uid="{00000000-0005-0000-0000-000003470000}"/>
    <cellStyle name="Normal 218 2 2 2" xfId="18180" xr:uid="{00000000-0005-0000-0000-000004470000}"/>
    <cellStyle name="Normal 218 2 2 2 2" xfId="18181" xr:uid="{00000000-0005-0000-0000-000005470000}"/>
    <cellStyle name="Normal 218 2 2 3" xfId="18182" xr:uid="{00000000-0005-0000-0000-000006470000}"/>
    <cellStyle name="Normal 218 2 2 3 2" xfId="18183" xr:uid="{00000000-0005-0000-0000-000007470000}"/>
    <cellStyle name="Normal 218 2 2 3 2 2" xfId="18184" xr:uid="{00000000-0005-0000-0000-000008470000}"/>
    <cellStyle name="Normal 218 2 2 3 3" xfId="18185" xr:uid="{00000000-0005-0000-0000-000009470000}"/>
    <cellStyle name="Normal 218 2 2 4" xfId="18186" xr:uid="{00000000-0005-0000-0000-00000A470000}"/>
    <cellStyle name="Normal 218 2 2 4 2" xfId="18187" xr:uid="{00000000-0005-0000-0000-00000B470000}"/>
    <cellStyle name="Normal 218 2 2 4 2 2" xfId="18188" xr:uid="{00000000-0005-0000-0000-00000C470000}"/>
    <cellStyle name="Normal 218 2 2 4 3" xfId="18189" xr:uid="{00000000-0005-0000-0000-00000D470000}"/>
    <cellStyle name="Normal 218 2 2 5" xfId="18190" xr:uid="{00000000-0005-0000-0000-00000E470000}"/>
    <cellStyle name="Normal 218 2 3" xfId="18191" xr:uid="{00000000-0005-0000-0000-00000F470000}"/>
    <cellStyle name="Normal 218 2 3 2" xfId="18192" xr:uid="{00000000-0005-0000-0000-000010470000}"/>
    <cellStyle name="Normal 218 2 3 2 2" xfId="18193" xr:uid="{00000000-0005-0000-0000-000011470000}"/>
    <cellStyle name="Normal 218 2 3 2 2 2" xfId="18194" xr:uid="{00000000-0005-0000-0000-000012470000}"/>
    <cellStyle name="Normal 218 2 3 2 3" xfId="18195" xr:uid="{00000000-0005-0000-0000-000013470000}"/>
    <cellStyle name="Normal 218 2 3 2 3 2" xfId="18196" xr:uid="{00000000-0005-0000-0000-000014470000}"/>
    <cellStyle name="Normal 218 2 3 2 3 2 2" xfId="18197" xr:uid="{00000000-0005-0000-0000-000015470000}"/>
    <cellStyle name="Normal 218 2 3 2 3 3" xfId="18198" xr:uid="{00000000-0005-0000-0000-000016470000}"/>
    <cellStyle name="Normal 218 2 3 2 4" xfId="18199" xr:uid="{00000000-0005-0000-0000-000017470000}"/>
    <cellStyle name="Normal 218 2 3 3" xfId="18200" xr:uid="{00000000-0005-0000-0000-000018470000}"/>
    <cellStyle name="Normal 218 2 3 3 2" xfId="18201" xr:uid="{00000000-0005-0000-0000-000019470000}"/>
    <cellStyle name="Normal 218 2 3 3 2 2" xfId="18202" xr:uid="{00000000-0005-0000-0000-00001A470000}"/>
    <cellStyle name="Normal 218 2 3 3 3" xfId="18203" xr:uid="{00000000-0005-0000-0000-00001B470000}"/>
    <cellStyle name="Normal 218 2 3 4" xfId="18204" xr:uid="{00000000-0005-0000-0000-00001C470000}"/>
    <cellStyle name="Normal 218 2 3 4 2" xfId="18205" xr:uid="{00000000-0005-0000-0000-00001D470000}"/>
    <cellStyle name="Normal 218 2 3 4 2 2" xfId="18206" xr:uid="{00000000-0005-0000-0000-00001E470000}"/>
    <cellStyle name="Normal 218 2 3 4 3" xfId="18207" xr:uid="{00000000-0005-0000-0000-00001F470000}"/>
    <cellStyle name="Normal 218 2 3 5" xfId="18208" xr:uid="{00000000-0005-0000-0000-000020470000}"/>
    <cellStyle name="Normal 218 2 3 5 2" xfId="18209" xr:uid="{00000000-0005-0000-0000-000021470000}"/>
    <cellStyle name="Normal 218 2 3 5 2 2" xfId="18210" xr:uid="{00000000-0005-0000-0000-000022470000}"/>
    <cellStyle name="Normal 218 2 3 5 3" xfId="18211" xr:uid="{00000000-0005-0000-0000-000023470000}"/>
    <cellStyle name="Normal 218 2 3 6" xfId="18212" xr:uid="{00000000-0005-0000-0000-000024470000}"/>
    <cellStyle name="Normal 218 2 4" xfId="18213" xr:uid="{00000000-0005-0000-0000-000025470000}"/>
    <cellStyle name="Normal 218 2 4 2" xfId="18214" xr:uid="{00000000-0005-0000-0000-000026470000}"/>
    <cellStyle name="Normal 218 2 4 2 2" xfId="18215" xr:uid="{00000000-0005-0000-0000-000027470000}"/>
    <cellStyle name="Normal 218 2 4 3" xfId="18216" xr:uid="{00000000-0005-0000-0000-000028470000}"/>
    <cellStyle name="Normal 218 2 5" xfId="18217" xr:uid="{00000000-0005-0000-0000-000029470000}"/>
    <cellStyle name="Normal 218 2 5 2" xfId="18218" xr:uid="{00000000-0005-0000-0000-00002A470000}"/>
    <cellStyle name="Normal 218 2 5 2 2" xfId="18219" xr:uid="{00000000-0005-0000-0000-00002B470000}"/>
    <cellStyle name="Normal 218 2 5 3" xfId="18220" xr:uid="{00000000-0005-0000-0000-00002C470000}"/>
    <cellStyle name="Normal 218 2 6" xfId="18221" xr:uid="{00000000-0005-0000-0000-00002D470000}"/>
    <cellStyle name="Normal 218 2 6 2" xfId="18222" xr:uid="{00000000-0005-0000-0000-00002E470000}"/>
    <cellStyle name="Normal 218 2 6 2 2" xfId="18223" xr:uid="{00000000-0005-0000-0000-00002F470000}"/>
    <cellStyle name="Normal 218 2 6 3" xfId="18224" xr:uid="{00000000-0005-0000-0000-000030470000}"/>
    <cellStyle name="Normal 218 2 7" xfId="18225" xr:uid="{00000000-0005-0000-0000-000031470000}"/>
    <cellStyle name="Normal 218 3" xfId="18226" xr:uid="{00000000-0005-0000-0000-000032470000}"/>
    <cellStyle name="Normal 218 3 2" xfId="18227" xr:uid="{00000000-0005-0000-0000-000033470000}"/>
    <cellStyle name="Normal 218 3 2 2" xfId="18228" xr:uid="{00000000-0005-0000-0000-000034470000}"/>
    <cellStyle name="Normal 218 3 3" xfId="18229" xr:uid="{00000000-0005-0000-0000-000035470000}"/>
    <cellStyle name="Normal 218 3 3 2" xfId="18230" xr:uid="{00000000-0005-0000-0000-000036470000}"/>
    <cellStyle name="Normal 218 3 3 2 2" xfId="18231" xr:uid="{00000000-0005-0000-0000-000037470000}"/>
    <cellStyle name="Normal 218 3 3 3" xfId="18232" xr:uid="{00000000-0005-0000-0000-000038470000}"/>
    <cellStyle name="Normal 218 3 4" xfId="18233" xr:uid="{00000000-0005-0000-0000-000039470000}"/>
    <cellStyle name="Normal 218 3 4 2" xfId="18234" xr:uid="{00000000-0005-0000-0000-00003A470000}"/>
    <cellStyle name="Normal 218 3 4 2 2" xfId="18235" xr:uid="{00000000-0005-0000-0000-00003B470000}"/>
    <cellStyle name="Normal 218 3 4 3" xfId="18236" xr:uid="{00000000-0005-0000-0000-00003C470000}"/>
    <cellStyle name="Normal 218 3 5" xfId="18237" xr:uid="{00000000-0005-0000-0000-00003D470000}"/>
    <cellStyle name="Normal 218 4" xfId="18238" xr:uid="{00000000-0005-0000-0000-00003E470000}"/>
    <cellStyle name="Normal 218 4 2" xfId="18239" xr:uid="{00000000-0005-0000-0000-00003F470000}"/>
    <cellStyle name="Normal 218 4 2 2" xfId="18240" xr:uid="{00000000-0005-0000-0000-000040470000}"/>
    <cellStyle name="Normal 218 4 2 2 2" xfId="18241" xr:uid="{00000000-0005-0000-0000-000041470000}"/>
    <cellStyle name="Normal 218 4 2 3" xfId="18242" xr:uid="{00000000-0005-0000-0000-000042470000}"/>
    <cellStyle name="Normal 218 4 2 3 2" xfId="18243" xr:uid="{00000000-0005-0000-0000-000043470000}"/>
    <cellStyle name="Normal 218 4 2 3 2 2" xfId="18244" xr:uid="{00000000-0005-0000-0000-000044470000}"/>
    <cellStyle name="Normal 218 4 2 3 3" xfId="18245" xr:uid="{00000000-0005-0000-0000-000045470000}"/>
    <cellStyle name="Normal 218 4 2 4" xfId="18246" xr:uid="{00000000-0005-0000-0000-000046470000}"/>
    <cellStyle name="Normal 218 4 3" xfId="18247" xr:uid="{00000000-0005-0000-0000-000047470000}"/>
    <cellStyle name="Normal 218 4 3 2" xfId="18248" xr:uid="{00000000-0005-0000-0000-000048470000}"/>
    <cellStyle name="Normal 218 4 3 2 2" xfId="18249" xr:uid="{00000000-0005-0000-0000-000049470000}"/>
    <cellStyle name="Normal 218 4 3 3" xfId="18250" xr:uid="{00000000-0005-0000-0000-00004A470000}"/>
    <cellStyle name="Normal 218 4 4" xfId="18251" xr:uid="{00000000-0005-0000-0000-00004B470000}"/>
    <cellStyle name="Normal 218 4 4 2" xfId="18252" xr:uid="{00000000-0005-0000-0000-00004C470000}"/>
    <cellStyle name="Normal 218 4 4 2 2" xfId="18253" xr:uid="{00000000-0005-0000-0000-00004D470000}"/>
    <cellStyle name="Normal 218 4 4 3" xfId="18254" xr:uid="{00000000-0005-0000-0000-00004E470000}"/>
    <cellStyle name="Normal 218 4 5" xfId="18255" xr:uid="{00000000-0005-0000-0000-00004F470000}"/>
    <cellStyle name="Normal 218 4 5 2" xfId="18256" xr:uid="{00000000-0005-0000-0000-000050470000}"/>
    <cellStyle name="Normal 218 4 5 2 2" xfId="18257" xr:uid="{00000000-0005-0000-0000-000051470000}"/>
    <cellStyle name="Normal 218 4 5 3" xfId="18258" xr:uid="{00000000-0005-0000-0000-000052470000}"/>
    <cellStyle name="Normal 218 4 6" xfId="18259" xr:uid="{00000000-0005-0000-0000-000053470000}"/>
    <cellStyle name="Normal 218 5" xfId="18260" xr:uid="{00000000-0005-0000-0000-000054470000}"/>
    <cellStyle name="Normal 218 5 2" xfId="18261" xr:uid="{00000000-0005-0000-0000-000055470000}"/>
    <cellStyle name="Normal 218 5 2 2" xfId="18262" xr:uid="{00000000-0005-0000-0000-000056470000}"/>
    <cellStyle name="Normal 218 5 3" xfId="18263" xr:uid="{00000000-0005-0000-0000-000057470000}"/>
    <cellStyle name="Normal 218 6" xfId="18264" xr:uid="{00000000-0005-0000-0000-000058470000}"/>
    <cellStyle name="Normal 218 6 2" xfId="18265" xr:uid="{00000000-0005-0000-0000-000059470000}"/>
    <cellStyle name="Normal 218 6 2 2" xfId="18266" xr:uid="{00000000-0005-0000-0000-00005A470000}"/>
    <cellStyle name="Normal 218 6 3" xfId="18267" xr:uid="{00000000-0005-0000-0000-00005B470000}"/>
    <cellStyle name="Normal 218 7" xfId="18268" xr:uid="{00000000-0005-0000-0000-00005C470000}"/>
    <cellStyle name="Normal 218 7 2" xfId="18269" xr:uid="{00000000-0005-0000-0000-00005D470000}"/>
    <cellStyle name="Normal 218 7 2 2" xfId="18270" xr:uid="{00000000-0005-0000-0000-00005E470000}"/>
    <cellStyle name="Normal 218 7 3" xfId="18271" xr:uid="{00000000-0005-0000-0000-00005F470000}"/>
    <cellStyle name="Normal 218 8" xfId="18272" xr:uid="{00000000-0005-0000-0000-000060470000}"/>
    <cellStyle name="Normal 219" xfId="18273" xr:uid="{00000000-0005-0000-0000-000061470000}"/>
    <cellStyle name="Normal 219 2" xfId="18274" xr:uid="{00000000-0005-0000-0000-000062470000}"/>
    <cellStyle name="Normal 219 2 2" xfId="18275" xr:uid="{00000000-0005-0000-0000-000063470000}"/>
    <cellStyle name="Normal 219 2 2 2" xfId="18276" xr:uid="{00000000-0005-0000-0000-000064470000}"/>
    <cellStyle name="Normal 219 2 2 2 2" xfId="18277" xr:uid="{00000000-0005-0000-0000-000065470000}"/>
    <cellStyle name="Normal 219 2 2 3" xfId="18278" xr:uid="{00000000-0005-0000-0000-000066470000}"/>
    <cellStyle name="Normal 219 2 2 3 2" xfId="18279" xr:uid="{00000000-0005-0000-0000-000067470000}"/>
    <cellStyle name="Normal 219 2 2 3 2 2" xfId="18280" xr:uid="{00000000-0005-0000-0000-000068470000}"/>
    <cellStyle name="Normal 219 2 2 3 3" xfId="18281" xr:uid="{00000000-0005-0000-0000-000069470000}"/>
    <cellStyle name="Normal 219 2 2 4" xfId="18282" xr:uid="{00000000-0005-0000-0000-00006A470000}"/>
    <cellStyle name="Normal 219 2 2 4 2" xfId="18283" xr:uid="{00000000-0005-0000-0000-00006B470000}"/>
    <cellStyle name="Normal 219 2 2 4 2 2" xfId="18284" xr:uid="{00000000-0005-0000-0000-00006C470000}"/>
    <cellStyle name="Normal 219 2 2 4 3" xfId="18285" xr:uid="{00000000-0005-0000-0000-00006D470000}"/>
    <cellStyle name="Normal 219 2 2 5" xfId="18286" xr:uid="{00000000-0005-0000-0000-00006E470000}"/>
    <cellStyle name="Normal 219 2 3" xfId="18287" xr:uid="{00000000-0005-0000-0000-00006F470000}"/>
    <cellStyle name="Normal 219 2 3 2" xfId="18288" xr:uid="{00000000-0005-0000-0000-000070470000}"/>
    <cellStyle name="Normal 219 2 3 2 2" xfId="18289" xr:uid="{00000000-0005-0000-0000-000071470000}"/>
    <cellStyle name="Normal 219 2 3 2 2 2" xfId="18290" xr:uid="{00000000-0005-0000-0000-000072470000}"/>
    <cellStyle name="Normal 219 2 3 2 3" xfId="18291" xr:uid="{00000000-0005-0000-0000-000073470000}"/>
    <cellStyle name="Normal 219 2 3 2 3 2" xfId="18292" xr:uid="{00000000-0005-0000-0000-000074470000}"/>
    <cellStyle name="Normal 219 2 3 2 3 2 2" xfId="18293" xr:uid="{00000000-0005-0000-0000-000075470000}"/>
    <cellStyle name="Normal 219 2 3 2 3 3" xfId="18294" xr:uid="{00000000-0005-0000-0000-000076470000}"/>
    <cellStyle name="Normal 219 2 3 2 4" xfId="18295" xr:uid="{00000000-0005-0000-0000-000077470000}"/>
    <cellStyle name="Normal 219 2 3 3" xfId="18296" xr:uid="{00000000-0005-0000-0000-000078470000}"/>
    <cellStyle name="Normal 219 2 3 3 2" xfId="18297" xr:uid="{00000000-0005-0000-0000-000079470000}"/>
    <cellStyle name="Normal 219 2 3 3 2 2" xfId="18298" xr:uid="{00000000-0005-0000-0000-00007A470000}"/>
    <cellStyle name="Normal 219 2 3 3 3" xfId="18299" xr:uid="{00000000-0005-0000-0000-00007B470000}"/>
    <cellStyle name="Normal 219 2 3 4" xfId="18300" xr:uid="{00000000-0005-0000-0000-00007C470000}"/>
    <cellStyle name="Normal 219 2 3 4 2" xfId="18301" xr:uid="{00000000-0005-0000-0000-00007D470000}"/>
    <cellStyle name="Normal 219 2 3 4 2 2" xfId="18302" xr:uid="{00000000-0005-0000-0000-00007E470000}"/>
    <cellStyle name="Normal 219 2 3 4 3" xfId="18303" xr:uid="{00000000-0005-0000-0000-00007F470000}"/>
    <cellStyle name="Normal 219 2 3 5" xfId="18304" xr:uid="{00000000-0005-0000-0000-000080470000}"/>
    <cellStyle name="Normal 219 2 3 5 2" xfId="18305" xr:uid="{00000000-0005-0000-0000-000081470000}"/>
    <cellStyle name="Normal 219 2 3 5 2 2" xfId="18306" xr:uid="{00000000-0005-0000-0000-000082470000}"/>
    <cellStyle name="Normal 219 2 3 5 3" xfId="18307" xr:uid="{00000000-0005-0000-0000-000083470000}"/>
    <cellStyle name="Normal 219 2 3 6" xfId="18308" xr:uid="{00000000-0005-0000-0000-000084470000}"/>
    <cellStyle name="Normal 219 2 4" xfId="18309" xr:uid="{00000000-0005-0000-0000-000085470000}"/>
    <cellStyle name="Normal 219 2 4 2" xfId="18310" xr:uid="{00000000-0005-0000-0000-000086470000}"/>
    <cellStyle name="Normal 219 2 4 2 2" xfId="18311" xr:uid="{00000000-0005-0000-0000-000087470000}"/>
    <cellStyle name="Normal 219 2 4 3" xfId="18312" xr:uid="{00000000-0005-0000-0000-000088470000}"/>
    <cellStyle name="Normal 219 2 5" xfId="18313" xr:uid="{00000000-0005-0000-0000-000089470000}"/>
    <cellStyle name="Normal 219 2 5 2" xfId="18314" xr:uid="{00000000-0005-0000-0000-00008A470000}"/>
    <cellStyle name="Normal 219 2 5 2 2" xfId="18315" xr:uid="{00000000-0005-0000-0000-00008B470000}"/>
    <cellStyle name="Normal 219 2 5 3" xfId="18316" xr:uid="{00000000-0005-0000-0000-00008C470000}"/>
    <cellStyle name="Normal 219 2 6" xfId="18317" xr:uid="{00000000-0005-0000-0000-00008D470000}"/>
    <cellStyle name="Normal 219 2 6 2" xfId="18318" xr:uid="{00000000-0005-0000-0000-00008E470000}"/>
    <cellStyle name="Normal 219 2 6 2 2" xfId="18319" xr:uid="{00000000-0005-0000-0000-00008F470000}"/>
    <cellStyle name="Normal 219 2 6 3" xfId="18320" xr:uid="{00000000-0005-0000-0000-000090470000}"/>
    <cellStyle name="Normal 219 2 7" xfId="18321" xr:uid="{00000000-0005-0000-0000-000091470000}"/>
    <cellStyle name="Normal 219 3" xfId="18322" xr:uid="{00000000-0005-0000-0000-000092470000}"/>
    <cellStyle name="Normal 219 3 2" xfId="18323" xr:uid="{00000000-0005-0000-0000-000093470000}"/>
    <cellStyle name="Normal 219 3 2 2" xfId="18324" xr:uid="{00000000-0005-0000-0000-000094470000}"/>
    <cellStyle name="Normal 219 3 3" xfId="18325" xr:uid="{00000000-0005-0000-0000-000095470000}"/>
    <cellStyle name="Normal 219 3 3 2" xfId="18326" xr:uid="{00000000-0005-0000-0000-000096470000}"/>
    <cellStyle name="Normal 219 3 3 2 2" xfId="18327" xr:uid="{00000000-0005-0000-0000-000097470000}"/>
    <cellStyle name="Normal 219 3 3 3" xfId="18328" xr:uid="{00000000-0005-0000-0000-000098470000}"/>
    <cellStyle name="Normal 219 3 4" xfId="18329" xr:uid="{00000000-0005-0000-0000-000099470000}"/>
    <cellStyle name="Normal 219 3 4 2" xfId="18330" xr:uid="{00000000-0005-0000-0000-00009A470000}"/>
    <cellStyle name="Normal 219 3 4 2 2" xfId="18331" xr:uid="{00000000-0005-0000-0000-00009B470000}"/>
    <cellStyle name="Normal 219 3 4 3" xfId="18332" xr:uid="{00000000-0005-0000-0000-00009C470000}"/>
    <cellStyle name="Normal 219 3 5" xfId="18333" xr:uid="{00000000-0005-0000-0000-00009D470000}"/>
    <cellStyle name="Normal 219 4" xfId="18334" xr:uid="{00000000-0005-0000-0000-00009E470000}"/>
    <cellStyle name="Normal 219 4 2" xfId="18335" xr:uid="{00000000-0005-0000-0000-00009F470000}"/>
    <cellStyle name="Normal 219 4 2 2" xfId="18336" xr:uid="{00000000-0005-0000-0000-0000A0470000}"/>
    <cellStyle name="Normal 219 4 2 2 2" xfId="18337" xr:uid="{00000000-0005-0000-0000-0000A1470000}"/>
    <cellStyle name="Normal 219 4 2 3" xfId="18338" xr:uid="{00000000-0005-0000-0000-0000A2470000}"/>
    <cellStyle name="Normal 219 4 2 3 2" xfId="18339" xr:uid="{00000000-0005-0000-0000-0000A3470000}"/>
    <cellStyle name="Normal 219 4 2 3 2 2" xfId="18340" xr:uid="{00000000-0005-0000-0000-0000A4470000}"/>
    <cellStyle name="Normal 219 4 2 3 3" xfId="18341" xr:uid="{00000000-0005-0000-0000-0000A5470000}"/>
    <cellStyle name="Normal 219 4 2 4" xfId="18342" xr:uid="{00000000-0005-0000-0000-0000A6470000}"/>
    <cellStyle name="Normal 219 4 3" xfId="18343" xr:uid="{00000000-0005-0000-0000-0000A7470000}"/>
    <cellStyle name="Normal 219 4 3 2" xfId="18344" xr:uid="{00000000-0005-0000-0000-0000A8470000}"/>
    <cellStyle name="Normal 219 4 3 2 2" xfId="18345" xr:uid="{00000000-0005-0000-0000-0000A9470000}"/>
    <cellStyle name="Normal 219 4 3 3" xfId="18346" xr:uid="{00000000-0005-0000-0000-0000AA470000}"/>
    <cellStyle name="Normal 219 4 4" xfId="18347" xr:uid="{00000000-0005-0000-0000-0000AB470000}"/>
    <cellStyle name="Normal 219 4 4 2" xfId="18348" xr:uid="{00000000-0005-0000-0000-0000AC470000}"/>
    <cellStyle name="Normal 219 4 4 2 2" xfId="18349" xr:uid="{00000000-0005-0000-0000-0000AD470000}"/>
    <cellStyle name="Normal 219 4 4 3" xfId="18350" xr:uid="{00000000-0005-0000-0000-0000AE470000}"/>
    <cellStyle name="Normal 219 4 5" xfId="18351" xr:uid="{00000000-0005-0000-0000-0000AF470000}"/>
    <cellStyle name="Normal 219 4 5 2" xfId="18352" xr:uid="{00000000-0005-0000-0000-0000B0470000}"/>
    <cellStyle name="Normal 219 4 5 2 2" xfId="18353" xr:uid="{00000000-0005-0000-0000-0000B1470000}"/>
    <cellStyle name="Normal 219 4 5 3" xfId="18354" xr:uid="{00000000-0005-0000-0000-0000B2470000}"/>
    <cellStyle name="Normal 219 4 6" xfId="18355" xr:uid="{00000000-0005-0000-0000-0000B3470000}"/>
    <cellStyle name="Normal 219 5" xfId="18356" xr:uid="{00000000-0005-0000-0000-0000B4470000}"/>
    <cellStyle name="Normal 219 5 2" xfId="18357" xr:uid="{00000000-0005-0000-0000-0000B5470000}"/>
    <cellStyle name="Normal 219 5 2 2" xfId="18358" xr:uid="{00000000-0005-0000-0000-0000B6470000}"/>
    <cellStyle name="Normal 219 5 3" xfId="18359" xr:uid="{00000000-0005-0000-0000-0000B7470000}"/>
    <cellStyle name="Normal 219 6" xfId="18360" xr:uid="{00000000-0005-0000-0000-0000B8470000}"/>
    <cellStyle name="Normal 219 6 2" xfId="18361" xr:uid="{00000000-0005-0000-0000-0000B9470000}"/>
    <cellStyle name="Normal 219 6 2 2" xfId="18362" xr:uid="{00000000-0005-0000-0000-0000BA470000}"/>
    <cellStyle name="Normal 219 6 3" xfId="18363" xr:uid="{00000000-0005-0000-0000-0000BB470000}"/>
    <cellStyle name="Normal 219 7" xfId="18364" xr:uid="{00000000-0005-0000-0000-0000BC470000}"/>
    <cellStyle name="Normal 219 7 2" xfId="18365" xr:uid="{00000000-0005-0000-0000-0000BD470000}"/>
    <cellStyle name="Normal 219 7 2 2" xfId="18366" xr:uid="{00000000-0005-0000-0000-0000BE470000}"/>
    <cellStyle name="Normal 219 7 3" xfId="18367" xr:uid="{00000000-0005-0000-0000-0000BF470000}"/>
    <cellStyle name="Normal 219 8" xfId="18368" xr:uid="{00000000-0005-0000-0000-0000C0470000}"/>
    <cellStyle name="Normal 22" xfId="18369" xr:uid="{00000000-0005-0000-0000-0000C1470000}"/>
    <cellStyle name="Normal 22 2" xfId="18370" xr:uid="{00000000-0005-0000-0000-0000C2470000}"/>
    <cellStyle name="Normal 22 2 2" xfId="18371" xr:uid="{00000000-0005-0000-0000-0000C3470000}"/>
    <cellStyle name="Normal 22 2 2 2" xfId="18372" xr:uid="{00000000-0005-0000-0000-0000C4470000}"/>
    <cellStyle name="Normal 22 2 2 2 2" xfId="18373" xr:uid="{00000000-0005-0000-0000-0000C5470000}"/>
    <cellStyle name="Normal 22 2 2 3" xfId="18374" xr:uid="{00000000-0005-0000-0000-0000C6470000}"/>
    <cellStyle name="Normal 22 2 2 3 2" xfId="18375" xr:uid="{00000000-0005-0000-0000-0000C7470000}"/>
    <cellStyle name="Normal 22 2 2 3 2 2" xfId="18376" xr:uid="{00000000-0005-0000-0000-0000C8470000}"/>
    <cellStyle name="Normal 22 2 2 3 3" xfId="18377" xr:uid="{00000000-0005-0000-0000-0000C9470000}"/>
    <cellStyle name="Normal 22 2 2 4" xfId="18378" xr:uid="{00000000-0005-0000-0000-0000CA470000}"/>
    <cellStyle name="Normal 22 2 2 4 2" xfId="18379" xr:uid="{00000000-0005-0000-0000-0000CB470000}"/>
    <cellStyle name="Normal 22 2 2 4 2 2" xfId="18380" xr:uid="{00000000-0005-0000-0000-0000CC470000}"/>
    <cellStyle name="Normal 22 2 2 4 3" xfId="18381" xr:uid="{00000000-0005-0000-0000-0000CD470000}"/>
    <cellStyle name="Normal 22 2 2 5" xfId="18382" xr:uid="{00000000-0005-0000-0000-0000CE470000}"/>
    <cellStyle name="Normal 22 2 3" xfId="18383" xr:uid="{00000000-0005-0000-0000-0000CF470000}"/>
    <cellStyle name="Normal 22 2 3 2" xfId="18384" xr:uid="{00000000-0005-0000-0000-0000D0470000}"/>
    <cellStyle name="Normal 22 2 3 2 2" xfId="18385" xr:uid="{00000000-0005-0000-0000-0000D1470000}"/>
    <cellStyle name="Normal 22 2 3 3" xfId="18386" xr:uid="{00000000-0005-0000-0000-0000D2470000}"/>
    <cellStyle name="Normal 22 2 4" xfId="18387" xr:uid="{00000000-0005-0000-0000-0000D3470000}"/>
    <cellStyle name="Normal 22 2 4 2" xfId="18388" xr:uid="{00000000-0005-0000-0000-0000D4470000}"/>
    <cellStyle name="Normal 22 2 4 2 2" xfId="18389" xr:uid="{00000000-0005-0000-0000-0000D5470000}"/>
    <cellStyle name="Normal 22 2 4 3" xfId="18390" xr:uid="{00000000-0005-0000-0000-0000D6470000}"/>
    <cellStyle name="Normal 22 2 5" xfId="18391" xr:uid="{00000000-0005-0000-0000-0000D7470000}"/>
    <cellStyle name="Normal 22 2 5 2" xfId="18392" xr:uid="{00000000-0005-0000-0000-0000D8470000}"/>
    <cellStyle name="Normal 22 2 5 2 2" xfId="18393" xr:uid="{00000000-0005-0000-0000-0000D9470000}"/>
    <cellStyle name="Normal 22 2 5 3" xfId="18394" xr:uid="{00000000-0005-0000-0000-0000DA470000}"/>
    <cellStyle name="Normal 22 2 6" xfId="18395" xr:uid="{00000000-0005-0000-0000-0000DB470000}"/>
    <cellStyle name="Normal 22 3" xfId="18396" xr:uid="{00000000-0005-0000-0000-0000DC470000}"/>
    <cellStyle name="Normal 22 3 2" xfId="18397" xr:uid="{00000000-0005-0000-0000-0000DD470000}"/>
    <cellStyle name="Normal 22 3 2 2" xfId="18398" xr:uid="{00000000-0005-0000-0000-0000DE470000}"/>
    <cellStyle name="Normal 22 3 3" xfId="18399" xr:uid="{00000000-0005-0000-0000-0000DF470000}"/>
    <cellStyle name="Normal 22 3 3 2" xfId="18400" xr:uid="{00000000-0005-0000-0000-0000E0470000}"/>
    <cellStyle name="Normal 22 3 3 2 2" xfId="18401" xr:uid="{00000000-0005-0000-0000-0000E1470000}"/>
    <cellStyle name="Normal 22 3 3 3" xfId="18402" xr:uid="{00000000-0005-0000-0000-0000E2470000}"/>
    <cellStyle name="Normal 22 3 4" xfId="18403" xr:uid="{00000000-0005-0000-0000-0000E3470000}"/>
    <cellStyle name="Normal 22 3 4 2" xfId="18404" xr:uid="{00000000-0005-0000-0000-0000E4470000}"/>
    <cellStyle name="Normal 22 3 4 2 2" xfId="18405" xr:uid="{00000000-0005-0000-0000-0000E5470000}"/>
    <cellStyle name="Normal 22 3 4 3" xfId="18406" xr:uid="{00000000-0005-0000-0000-0000E6470000}"/>
    <cellStyle name="Normal 22 3 5" xfId="18407" xr:uid="{00000000-0005-0000-0000-0000E7470000}"/>
    <cellStyle name="Normal 22 4" xfId="18408" xr:uid="{00000000-0005-0000-0000-0000E8470000}"/>
    <cellStyle name="Normal 22 4 2" xfId="18409" xr:uid="{00000000-0005-0000-0000-0000E9470000}"/>
    <cellStyle name="Normal 22 4 2 2" xfId="18410" xr:uid="{00000000-0005-0000-0000-0000EA470000}"/>
    <cellStyle name="Normal 22 4 2 2 2" xfId="18411" xr:uid="{00000000-0005-0000-0000-0000EB470000}"/>
    <cellStyle name="Normal 22 4 2 3" xfId="18412" xr:uid="{00000000-0005-0000-0000-0000EC470000}"/>
    <cellStyle name="Normal 22 4 2 3 2" xfId="18413" xr:uid="{00000000-0005-0000-0000-0000ED470000}"/>
    <cellStyle name="Normal 22 4 2 3 2 2" xfId="18414" xr:uid="{00000000-0005-0000-0000-0000EE470000}"/>
    <cellStyle name="Normal 22 4 2 3 3" xfId="18415" xr:uid="{00000000-0005-0000-0000-0000EF470000}"/>
    <cellStyle name="Normal 22 4 2 4" xfId="18416" xr:uid="{00000000-0005-0000-0000-0000F0470000}"/>
    <cellStyle name="Normal 22 4 3" xfId="18417" xr:uid="{00000000-0005-0000-0000-0000F1470000}"/>
    <cellStyle name="Normal 22 4 3 2" xfId="18418" xr:uid="{00000000-0005-0000-0000-0000F2470000}"/>
    <cellStyle name="Normal 22 4 3 2 2" xfId="18419" xr:uid="{00000000-0005-0000-0000-0000F3470000}"/>
    <cellStyle name="Normal 22 4 3 3" xfId="18420" xr:uid="{00000000-0005-0000-0000-0000F4470000}"/>
    <cellStyle name="Normal 22 4 4" xfId="18421" xr:uid="{00000000-0005-0000-0000-0000F5470000}"/>
    <cellStyle name="Normal 22 4 4 2" xfId="18422" xr:uid="{00000000-0005-0000-0000-0000F6470000}"/>
    <cellStyle name="Normal 22 4 4 2 2" xfId="18423" xr:uid="{00000000-0005-0000-0000-0000F7470000}"/>
    <cellStyle name="Normal 22 4 4 3" xfId="18424" xr:uid="{00000000-0005-0000-0000-0000F8470000}"/>
    <cellStyle name="Normal 22 4 5" xfId="18425" xr:uid="{00000000-0005-0000-0000-0000F9470000}"/>
    <cellStyle name="Normal 22 4 5 2" xfId="18426" xr:uid="{00000000-0005-0000-0000-0000FA470000}"/>
    <cellStyle name="Normal 22 4 5 2 2" xfId="18427" xr:uid="{00000000-0005-0000-0000-0000FB470000}"/>
    <cellStyle name="Normal 22 4 5 3" xfId="18428" xr:uid="{00000000-0005-0000-0000-0000FC470000}"/>
    <cellStyle name="Normal 22 4 6" xfId="18429" xr:uid="{00000000-0005-0000-0000-0000FD470000}"/>
    <cellStyle name="Normal 22 5" xfId="18430" xr:uid="{00000000-0005-0000-0000-0000FE470000}"/>
    <cellStyle name="Normal 220" xfId="18431" xr:uid="{00000000-0005-0000-0000-0000FF470000}"/>
    <cellStyle name="Normal 220 2" xfId="18432" xr:uid="{00000000-0005-0000-0000-000000480000}"/>
    <cellStyle name="Normal 220 2 2" xfId="18433" xr:uid="{00000000-0005-0000-0000-000001480000}"/>
    <cellStyle name="Normal 220 2 2 2" xfId="18434" xr:uid="{00000000-0005-0000-0000-000002480000}"/>
    <cellStyle name="Normal 220 2 2 2 2" xfId="18435" xr:uid="{00000000-0005-0000-0000-000003480000}"/>
    <cellStyle name="Normal 220 2 2 3" xfId="18436" xr:uid="{00000000-0005-0000-0000-000004480000}"/>
    <cellStyle name="Normal 220 2 2 3 2" xfId="18437" xr:uid="{00000000-0005-0000-0000-000005480000}"/>
    <cellStyle name="Normal 220 2 2 3 2 2" xfId="18438" xr:uid="{00000000-0005-0000-0000-000006480000}"/>
    <cellStyle name="Normal 220 2 2 3 3" xfId="18439" xr:uid="{00000000-0005-0000-0000-000007480000}"/>
    <cellStyle name="Normal 220 2 2 4" xfId="18440" xr:uid="{00000000-0005-0000-0000-000008480000}"/>
    <cellStyle name="Normal 220 2 2 4 2" xfId="18441" xr:uid="{00000000-0005-0000-0000-000009480000}"/>
    <cellStyle name="Normal 220 2 2 4 2 2" xfId="18442" xr:uid="{00000000-0005-0000-0000-00000A480000}"/>
    <cellStyle name="Normal 220 2 2 4 3" xfId="18443" xr:uid="{00000000-0005-0000-0000-00000B480000}"/>
    <cellStyle name="Normal 220 2 2 5" xfId="18444" xr:uid="{00000000-0005-0000-0000-00000C480000}"/>
    <cellStyle name="Normal 220 2 3" xfId="18445" xr:uid="{00000000-0005-0000-0000-00000D480000}"/>
    <cellStyle name="Normal 220 2 3 2" xfId="18446" xr:uid="{00000000-0005-0000-0000-00000E480000}"/>
    <cellStyle name="Normal 220 2 3 2 2" xfId="18447" xr:uid="{00000000-0005-0000-0000-00000F480000}"/>
    <cellStyle name="Normal 220 2 3 2 2 2" xfId="18448" xr:uid="{00000000-0005-0000-0000-000010480000}"/>
    <cellStyle name="Normal 220 2 3 2 3" xfId="18449" xr:uid="{00000000-0005-0000-0000-000011480000}"/>
    <cellStyle name="Normal 220 2 3 2 3 2" xfId="18450" xr:uid="{00000000-0005-0000-0000-000012480000}"/>
    <cellStyle name="Normal 220 2 3 2 3 2 2" xfId="18451" xr:uid="{00000000-0005-0000-0000-000013480000}"/>
    <cellStyle name="Normal 220 2 3 2 3 3" xfId="18452" xr:uid="{00000000-0005-0000-0000-000014480000}"/>
    <cellStyle name="Normal 220 2 3 2 4" xfId="18453" xr:uid="{00000000-0005-0000-0000-000015480000}"/>
    <cellStyle name="Normal 220 2 3 3" xfId="18454" xr:uid="{00000000-0005-0000-0000-000016480000}"/>
    <cellStyle name="Normal 220 2 3 3 2" xfId="18455" xr:uid="{00000000-0005-0000-0000-000017480000}"/>
    <cellStyle name="Normal 220 2 3 3 2 2" xfId="18456" xr:uid="{00000000-0005-0000-0000-000018480000}"/>
    <cellStyle name="Normal 220 2 3 3 3" xfId="18457" xr:uid="{00000000-0005-0000-0000-000019480000}"/>
    <cellStyle name="Normal 220 2 3 4" xfId="18458" xr:uid="{00000000-0005-0000-0000-00001A480000}"/>
    <cellStyle name="Normal 220 2 3 4 2" xfId="18459" xr:uid="{00000000-0005-0000-0000-00001B480000}"/>
    <cellStyle name="Normal 220 2 3 4 2 2" xfId="18460" xr:uid="{00000000-0005-0000-0000-00001C480000}"/>
    <cellStyle name="Normal 220 2 3 4 3" xfId="18461" xr:uid="{00000000-0005-0000-0000-00001D480000}"/>
    <cellStyle name="Normal 220 2 3 5" xfId="18462" xr:uid="{00000000-0005-0000-0000-00001E480000}"/>
    <cellStyle name="Normal 220 2 3 5 2" xfId="18463" xr:uid="{00000000-0005-0000-0000-00001F480000}"/>
    <cellStyle name="Normal 220 2 3 5 2 2" xfId="18464" xr:uid="{00000000-0005-0000-0000-000020480000}"/>
    <cellStyle name="Normal 220 2 3 5 3" xfId="18465" xr:uid="{00000000-0005-0000-0000-000021480000}"/>
    <cellStyle name="Normal 220 2 3 6" xfId="18466" xr:uid="{00000000-0005-0000-0000-000022480000}"/>
    <cellStyle name="Normal 220 2 4" xfId="18467" xr:uid="{00000000-0005-0000-0000-000023480000}"/>
    <cellStyle name="Normal 220 2 4 2" xfId="18468" xr:uid="{00000000-0005-0000-0000-000024480000}"/>
    <cellStyle name="Normal 220 2 4 2 2" xfId="18469" xr:uid="{00000000-0005-0000-0000-000025480000}"/>
    <cellStyle name="Normal 220 2 4 3" xfId="18470" xr:uid="{00000000-0005-0000-0000-000026480000}"/>
    <cellStyle name="Normal 220 2 5" xfId="18471" xr:uid="{00000000-0005-0000-0000-000027480000}"/>
    <cellStyle name="Normal 220 2 5 2" xfId="18472" xr:uid="{00000000-0005-0000-0000-000028480000}"/>
    <cellStyle name="Normal 220 2 5 2 2" xfId="18473" xr:uid="{00000000-0005-0000-0000-000029480000}"/>
    <cellStyle name="Normal 220 2 5 3" xfId="18474" xr:uid="{00000000-0005-0000-0000-00002A480000}"/>
    <cellStyle name="Normal 220 2 6" xfId="18475" xr:uid="{00000000-0005-0000-0000-00002B480000}"/>
    <cellStyle name="Normal 220 2 6 2" xfId="18476" xr:uid="{00000000-0005-0000-0000-00002C480000}"/>
    <cellStyle name="Normal 220 2 6 2 2" xfId="18477" xr:uid="{00000000-0005-0000-0000-00002D480000}"/>
    <cellStyle name="Normal 220 2 6 3" xfId="18478" xr:uid="{00000000-0005-0000-0000-00002E480000}"/>
    <cellStyle name="Normal 220 2 7" xfId="18479" xr:uid="{00000000-0005-0000-0000-00002F480000}"/>
    <cellStyle name="Normal 220 3" xfId="18480" xr:uid="{00000000-0005-0000-0000-000030480000}"/>
    <cellStyle name="Normal 220 3 2" xfId="18481" xr:uid="{00000000-0005-0000-0000-000031480000}"/>
    <cellStyle name="Normal 220 3 2 2" xfId="18482" xr:uid="{00000000-0005-0000-0000-000032480000}"/>
    <cellStyle name="Normal 220 3 3" xfId="18483" xr:uid="{00000000-0005-0000-0000-000033480000}"/>
    <cellStyle name="Normal 220 3 3 2" xfId="18484" xr:uid="{00000000-0005-0000-0000-000034480000}"/>
    <cellStyle name="Normal 220 3 3 2 2" xfId="18485" xr:uid="{00000000-0005-0000-0000-000035480000}"/>
    <cellStyle name="Normal 220 3 3 3" xfId="18486" xr:uid="{00000000-0005-0000-0000-000036480000}"/>
    <cellStyle name="Normal 220 3 4" xfId="18487" xr:uid="{00000000-0005-0000-0000-000037480000}"/>
    <cellStyle name="Normal 220 3 4 2" xfId="18488" xr:uid="{00000000-0005-0000-0000-000038480000}"/>
    <cellStyle name="Normal 220 3 4 2 2" xfId="18489" xr:uid="{00000000-0005-0000-0000-000039480000}"/>
    <cellStyle name="Normal 220 3 4 3" xfId="18490" xr:uid="{00000000-0005-0000-0000-00003A480000}"/>
    <cellStyle name="Normal 220 3 5" xfId="18491" xr:uid="{00000000-0005-0000-0000-00003B480000}"/>
    <cellStyle name="Normal 220 4" xfId="18492" xr:uid="{00000000-0005-0000-0000-00003C480000}"/>
    <cellStyle name="Normal 220 4 2" xfId="18493" xr:uid="{00000000-0005-0000-0000-00003D480000}"/>
    <cellStyle name="Normal 220 4 2 2" xfId="18494" xr:uid="{00000000-0005-0000-0000-00003E480000}"/>
    <cellStyle name="Normal 220 4 2 2 2" xfId="18495" xr:uid="{00000000-0005-0000-0000-00003F480000}"/>
    <cellStyle name="Normal 220 4 2 3" xfId="18496" xr:uid="{00000000-0005-0000-0000-000040480000}"/>
    <cellStyle name="Normal 220 4 2 3 2" xfId="18497" xr:uid="{00000000-0005-0000-0000-000041480000}"/>
    <cellStyle name="Normal 220 4 2 3 2 2" xfId="18498" xr:uid="{00000000-0005-0000-0000-000042480000}"/>
    <cellStyle name="Normal 220 4 2 3 3" xfId="18499" xr:uid="{00000000-0005-0000-0000-000043480000}"/>
    <cellStyle name="Normal 220 4 2 4" xfId="18500" xr:uid="{00000000-0005-0000-0000-000044480000}"/>
    <cellStyle name="Normal 220 4 3" xfId="18501" xr:uid="{00000000-0005-0000-0000-000045480000}"/>
    <cellStyle name="Normal 220 4 3 2" xfId="18502" xr:uid="{00000000-0005-0000-0000-000046480000}"/>
    <cellStyle name="Normal 220 4 3 2 2" xfId="18503" xr:uid="{00000000-0005-0000-0000-000047480000}"/>
    <cellStyle name="Normal 220 4 3 3" xfId="18504" xr:uid="{00000000-0005-0000-0000-000048480000}"/>
    <cellStyle name="Normal 220 4 4" xfId="18505" xr:uid="{00000000-0005-0000-0000-000049480000}"/>
    <cellStyle name="Normal 220 4 4 2" xfId="18506" xr:uid="{00000000-0005-0000-0000-00004A480000}"/>
    <cellStyle name="Normal 220 4 4 2 2" xfId="18507" xr:uid="{00000000-0005-0000-0000-00004B480000}"/>
    <cellStyle name="Normal 220 4 4 3" xfId="18508" xr:uid="{00000000-0005-0000-0000-00004C480000}"/>
    <cellStyle name="Normal 220 4 5" xfId="18509" xr:uid="{00000000-0005-0000-0000-00004D480000}"/>
    <cellStyle name="Normal 220 4 5 2" xfId="18510" xr:uid="{00000000-0005-0000-0000-00004E480000}"/>
    <cellStyle name="Normal 220 4 5 2 2" xfId="18511" xr:uid="{00000000-0005-0000-0000-00004F480000}"/>
    <cellStyle name="Normal 220 4 5 3" xfId="18512" xr:uid="{00000000-0005-0000-0000-000050480000}"/>
    <cellStyle name="Normal 220 4 6" xfId="18513" xr:uid="{00000000-0005-0000-0000-000051480000}"/>
    <cellStyle name="Normal 220 5" xfId="18514" xr:uid="{00000000-0005-0000-0000-000052480000}"/>
    <cellStyle name="Normal 220 5 2" xfId="18515" xr:uid="{00000000-0005-0000-0000-000053480000}"/>
    <cellStyle name="Normal 220 5 2 2" xfId="18516" xr:uid="{00000000-0005-0000-0000-000054480000}"/>
    <cellStyle name="Normal 220 5 3" xfId="18517" xr:uid="{00000000-0005-0000-0000-000055480000}"/>
    <cellStyle name="Normal 220 6" xfId="18518" xr:uid="{00000000-0005-0000-0000-000056480000}"/>
    <cellStyle name="Normal 220 6 2" xfId="18519" xr:uid="{00000000-0005-0000-0000-000057480000}"/>
    <cellStyle name="Normal 220 6 2 2" xfId="18520" xr:uid="{00000000-0005-0000-0000-000058480000}"/>
    <cellStyle name="Normal 220 6 3" xfId="18521" xr:uid="{00000000-0005-0000-0000-000059480000}"/>
    <cellStyle name="Normal 220 7" xfId="18522" xr:uid="{00000000-0005-0000-0000-00005A480000}"/>
    <cellStyle name="Normal 220 7 2" xfId="18523" xr:uid="{00000000-0005-0000-0000-00005B480000}"/>
    <cellStyle name="Normal 220 7 2 2" xfId="18524" xr:uid="{00000000-0005-0000-0000-00005C480000}"/>
    <cellStyle name="Normal 220 7 3" xfId="18525" xr:uid="{00000000-0005-0000-0000-00005D480000}"/>
    <cellStyle name="Normal 220 8" xfId="18526" xr:uid="{00000000-0005-0000-0000-00005E480000}"/>
    <cellStyle name="Normal 221" xfId="18527" xr:uid="{00000000-0005-0000-0000-00005F480000}"/>
    <cellStyle name="Normal 221 2" xfId="18528" xr:uid="{00000000-0005-0000-0000-000060480000}"/>
    <cellStyle name="Normal 221 2 2" xfId="18529" xr:uid="{00000000-0005-0000-0000-000061480000}"/>
    <cellStyle name="Normal 221 2 2 2" xfId="18530" xr:uid="{00000000-0005-0000-0000-000062480000}"/>
    <cellStyle name="Normal 221 2 2 2 2" xfId="18531" xr:uid="{00000000-0005-0000-0000-000063480000}"/>
    <cellStyle name="Normal 221 2 2 3" xfId="18532" xr:uid="{00000000-0005-0000-0000-000064480000}"/>
    <cellStyle name="Normal 221 2 2 3 2" xfId="18533" xr:uid="{00000000-0005-0000-0000-000065480000}"/>
    <cellStyle name="Normal 221 2 2 3 2 2" xfId="18534" xr:uid="{00000000-0005-0000-0000-000066480000}"/>
    <cellStyle name="Normal 221 2 2 3 3" xfId="18535" xr:uid="{00000000-0005-0000-0000-000067480000}"/>
    <cellStyle name="Normal 221 2 2 4" xfId="18536" xr:uid="{00000000-0005-0000-0000-000068480000}"/>
    <cellStyle name="Normal 221 2 2 4 2" xfId="18537" xr:uid="{00000000-0005-0000-0000-000069480000}"/>
    <cellStyle name="Normal 221 2 2 4 2 2" xfId="18538" xr:uid="{00000000-0005-0000-0000-00006A480000}"/>
    <cellStyle name="Normal 221 2 2 4 3" xfId="18539" xr:uid="{00000000-0005-0000-0000-00006B480000}"/>
    <cellStyle name="Normal 221 2 2 5" xfId="18540" xr:uid="{00000000-0005-0000-0000-00006C480000}"/>
    <cellStyle name="Normal 221 2 3" xfId="18541" xr:uid="{00000000-0005-0000-0000-00006D480000}"/>
    <cellStyle name="Normal 221 2 3 2" xfId="18542" xr:uid="{00000000-0005-0000-0000-00006E480000}"/>
    <cellStyle name="Normal 221 2 3 2 2" xfId="18543" xr:uid="{00000000-0005-0000-0000-00006F480000}"/>
    <cellStyle name="Normal 221 2 3 2 2 2" xfId="18544" xr:uid="{00000000-0005-0000-0000-000070480000}"/>
    <cellStyle name="Normal 221 2 3 2 3" xfId="18545" xr:uid="{00000000-0005-0000-0000-000071480000}"/>
    <cellStyle name="Normal 221 2 3 2 3 2" xfId="18546" xr:uid="{00000000-0005-0000-0000-000072480000}"/>
    <cellStyle name="Normal 221 2 3 2 3 2 2" xfId="18547" xr:uid="{00000000-0005-0000-0000-000073480000}"/>
    <cellStyle name="Normal 221 2 3 2 3 3" xfId="18548" xr:uid="{00000000-0005-0000-0000-000074480000}"/>
    <cellStyle name="Normal 221 2 3 2 4" xfId="18549" xr:uid="{00000000-0005-0000-0000-000075480000}"/>
    <cellStyle name="Normal 221 2 3 3" xfId="18550" xr:uid="{00000000-0005-0000-0000-000076480000}"/>
    <cellStyle name="Normal 221 2 3 3 2" xfId="18551" xr:uid="{00000000-0005-0000-0000-000077480000}"/>
    <cellStyle name="Normal 221 2 3 3 2 2" xfId="18552" xr:uid="{00000000-0005-0000-0000-000078480000}"/>
    <cellStyle name="Normal 221 2 3 3 3" xfId="18553" xr:uid="{00000000-0005-0000-0000-000079480000}"/>
    <cellStyle name="Normal 221 2 3 4" xfId="18554" xr:uid="{00000000-0005-0000-0000-00007A480000}"/>
    <cellStyle name="Normal 221 2 3 4 2" xfId="18555" xr:uid="{00000000-0005-0000-0000-00007B480000}"/>
    <cellStyle name="Normal 221 2 3 4 2 2" xfId="18556" xr:uid="{00000000-0005-0000-0000-00007C480000}"/>
    <cellStyle name="Normal 221 2 3 4 3" xfId="18557" xr:uid="{00000000-0005-0000-0000-00007D480000}"/>
    <cellStyle name="Normal 221 2 3 5" xfId="18558" xr:uid="{00000000-0005-0000-0000-00007E480000}"/>
    <cellStyle name="Normal 221 2 3 5 2" xfId="18559" xr:uid="{00000000-0005-0000-0000-00007F480000}"/>
    <cellStyle name="Normal 221 2 3 5 2 2" xfId="18560" xr:uid="{00000000-0005-0000-0000-000080480000}"/>
    <cellStyle name="Normal 221 2 3 5 3" xfId="18561" xr:uid="{00000000-0005-0000-0000-000081480000}"/>
    <cellStyle name="Normal 221 2 3 6" xfId="18562" xr:uid="{00000000-0005-0000-0000-000082480000}"/>
    <cellStyle name="Normal 221 2 4" xfId="18563" xr:uid="{00000000-0005-0000-0000-000083480000}"/>
    <cellStyle name="Normal 221 2 4 2" xfId="18564" xr:uid="{00000000-0005-0000-0000-000084480000}"/>
    <cellStyle name="Normal 221 2 4 2 2" xfId="18565" xr:uid="{00000000-0005-0000-0000-000085480000}"/>
    <cellStyle name="Normal 221 2 4 3" xfId="18566" xr:uid="{00000000-0005-0000-0000-000086480000}"/>
    <cellStyle name="Normal 221 2 5" xfId="18567" xr:uid="{00000000-0005-0000-0000-000087480000}"/>
    <cellStyle name="Normal 221 2 5 2" xfId="18568" xr:uid="{00000000-0005-0000-0000-000088480000}"/>
    <cellStyle name="Normal 221 2 5 2 2" xfId="18569" xr:uid="{00000000-0005-0000-0000-000089480000}"/>
    <cellStyle name="Normal 221 2 5 3" xfId="18570" xr:uid="{00000000-0005-0000-0000-00008A480000}"/>
    <cellStyle name="Normal 221 2 6" xfId="18571" xr:uid="{00000000-0005-0000-0000-00008B480000}"/>
    <cellStyle name="Normal 221 2 6 2" xfId="18572" xr:uid="{00000000-0005-0000-0000-00008C480000}"/>
    <cellStyle name="Normal 221 2 6 2 2" xfId="18573" xr:uid="{00000000-0005-0000-0000-00008D480000}"/>
    <cellStyle name="Normal 221 2 6 3" xfId="18574" xr:uid="{00000000-0005-0000-0000-00008E480000}"/>
    <cellStyle name="Normal 221 2 7" xfId="18575" xr:uid="{00000000-0005-0000-0000-00008F480000}"/>
    <cellStyle name="Normal 221 3" xfId="18576" xr:uid="{00000000-0005-0000-0000-000090480000}"/>
    <cellStyle name="Normal 221 3 2" xfId="18577" xr:uid="{00000000-0005-0000-0000-000091480000}"/>
    <cellStyle name="Normal 221 3 2 2" xfId="18578" xr:uid="{00000000-0005-0000-0000-000092480000}"/>
    <cellStyle name="Normal 221 3 3" xfId="18579" xr:uid="{00000000-0005-0000-0000-000093480000}"/>
    <cellStyle name="Normal 221 3 3 2" xfId="18580" xr:uid="{00000000-0005-0000-0000-000094480000}"/>
    <cellStyle name="Normal 221 3 3 2 2" xfId="18581" xr:uid="{00000000-0005-0000-0000-000095480000}"/>
    <cellStyle name="Normal 221 3 3 3" xfId="18582" xr:uid="{00000000-0005-0000-0000-000096480000}"/>
    <cellStyle name="Normal 221 3 4" xfId="18583" xr:uid="{00000000-0005-0000-0000-000097480000}"/>
    <cellStyle name="Normal 221 3 4 2" xfId="18584" xr:uid="{00000000-0005-0000-0000-000098480000}"/>
    <cellStyle name="Normal 221 3 4 2 2" xfId="18585" xr:uid="{00000000-0005-0000-0000-000099480000}"/>
    <cellStyle name="Normal 221 3 4 3" xfId="18586" xr:uid="{00000000-0005-0000-0000-00009A480000}"/>
    <cellStyle name="Normal 221 3 5" xfId="18587" xr:uid="{00000000-0005-0000-0000-00009B480000}"/>
    <cellStyle name="Normal 221 4" xfId="18588" xr:uid="{00000000-0005-0000-0000-00009C480000}"/>
    <cellStyle name="Normal 221 4 2" xfId="18589" xr:uid="{00000000-0005-0000-0000-00009D480000}"/>
    <cellStyle name="Normal 221 4 2 2" xfId="18590" xr:uid="{00000000-0005-0000-0000-00009E480000}"/>
    <cellStyle name="Normal 221 4 2 2 2" xfId="18591" xr:uid="{00000000-0005-0000-0000-00009F480000}"/>
    <cellStyle name="Normal 221 4 2 3" xfId="18592" xr:uid="{00000000-0005-0000-0000-0000A0480000}"/>
    <cellStyle name="Normal 221 4 2 3 2" xfId="18593" xr:uid="{00000000-0005-0000-0000-0000A1480000}"/>
    <cellStyle name="Normal 221 4 2 3 2 2" xfId="18594" xr:uid="{00000000-0005-0000-0000-0000A2480000}"/>
    <cellStyle name="Normal 221 4 2 3 3" xfId="18595" xr:uid="{00000000-0005-0000-0000-0000A3480000}"/>
    <cellStyle name="Normal 221 4 2 4" xfId="18596" xr:uid="{00000000-0005-0000-0000-0000A4480000}"/>
    <cellStyle name="Normal 221 4 3" xfId="18597" xr:uid="{00000000-0005-0000-0000-0000A5480000}"/>
    <cellStyle name="Normal 221 4 3 2" xfId="18598" xr:uid="{00000000-0005-0000-0000-0000A6480000}"/>
    <cellStyle name="Normal 221 4 3 2 2" xfId="18599" xr:uid="{00000000-0005-0000-0000-0000A7480000}"/>
    <cellStyle name="Normal 221 4 3 3" xfId="18600" xr:uid="{00000000-0005-0000-0000-0000A8480000}"/>
    <cellStyle name="Normal 221 4 4" xfId="18601" xr:uid="{00000000-0005-0000-0000-0000A9480000}"/>
    <cellStyle name="Normal 221 4 4 2" xfId="18602" xr:uid="{00000000-0005-0000-0000-0000AA480000}"/>
    <cellStyle name="Normal 221 4 4 2 2" xfId="18603" xr:uid="{00000000-0005-0000-0000-0000AB480000}"/>
    <cellStyle name="Normal 221 4 4 3" xfId="18604" xr:uid="{00000000-0005-0000-0000-0000AC480000}"/>
    <cellStyle name="Normal 221 4 5" xfId="18605" xr:uid="{00000000-0005-0000-0000-0000AD480000}"/>
    <cellStyle name="Normal 221 4 5 2" xfId="18606" xr:uid="{00000000-0005-0000-0000-0000AE480000}"/>
    <cellStyle name="Normal 221 4 5 2 2" xfId="18607" xr:uid="{00000000-0005-0000-0000-0000AF480000}"/>
    <cellStyle name="Normal 221 4 5 3" xfId="18608" xr:uid="{00000000-0005-0000-0000-0000B0480000}"/>
    <cellStyle name="Normal 221 4 6" xfId="18609" xr:uid="{00000000-0005-0000-0000-0000B1480000}"/>
    <cellStyle name="Normal 221 5" xfId="18610" xr:uid="{00000000-0005-0000-0000-0000B2480000}"/>
    <cellStyle name="Normal 221 5 2" xfId="18611" xr:uid="{00000000-0005-0000-0000-0000B3480000}"/>
    <cellStyle name="Normal 221 5 2 2" xfId="18612" xr:uid="{00000000-0005-0000-0000-0000B4480000}"/>
    <cellStyle name="Normal 221 5 3" xfId="18613" xr:uid="{00000000-0005-0000-0000-0000B5480000}"/>
    <cellStyle name="Normal 221 6" xfId="18614" xr:uid="{00000000-0005-0000-0000-0000B6480000}"/>
    <cellStyle name="Normal 221 6 2" xfId="18615" xr:uid="{00000000-0005-0000-0000-0000B7480000}"/>
    <cellStyle name="Normal 221 6 2 2" xfId="18616" xr:uid="{00000000-0005-0000-0000-0000B8480000}"/>
    <cellStyle name="Normal 221 6 3" xfId="18617" xr:uid="{00000000-0005-0000-0000-0000B9480000}"/>
    <cellStyle name="Normal 221 7" xfId="18618" xr:uid="{00000000-0005-0000-0000-0000BA480000}"/>
    <cellStyle name="Normal 221 7 2" xfId="18619" xr:uid="{00000000-0005-0000-0000-0000BB480000}"/>
    <cellStyle name="Normal 221 7 2 2" xfId="18620" xr:uid="{00000000-0005-0000-0000-0000BC480000}"/>
    <cellStyle name="Normal 221 7 3" xfId="18621" xr:uid="{00000000-0005-0000-0000-0000BD480000}"/>
    <cellStyle name="Normal 221 8" xfId="18622" xr:uid="{00000000-0005-0000-0000-0000BE480000}"/>
    <cellStyle name="Normal 222" xfId="18623" xr:uid="{00000000-0005-0000-0000-0000BF480000}"/>
    <cellStyle name="Normal 222 2" xfId="18624" xr:uid="{00000000-0005-0000-0000-0000C0480000}"/>
    <cellStyle name="Normal 222 2 2" xfId="18625" xr:uid="{00000000-0005-0000-0000-0000C1480000}"/>
    <cellStyle name="Normal 222 2 2 2" xfId="18626" xr:uid="{00000000-0005-0000-0000-0000C2480000}"/>
    <cellStyle name="Normal 222 2 2 2 2" xfId="18627" xr:uid="{00000000-0005-0000-0000-0000C3480000}"/>
    <cellStyle name="Normal 222 2 2 3" xfId="18628" xr:uid="{00000000-0005-0000-0000-0000C4480000}"/>
    <cellStyle name="Normal 222 2 2 3 2" xfId="18629" xr:uid="{00000000-0005-0000-0000-0000C5480000}"/>
    <cellStyle name="Normal 222 2 2 3 2 2" xfId="18630" xr:uid="{00000000-0005-0000-0000-0000C6480000}"/>
    <cellStyle name="Normal 222 2 2 3 3" xfId="18631" xr:uid="{00000000-0005-0000-0000-0000C7480000}"/>
    <cellStyle name="Normal 222 2 2 4" xfId="18632" xr:uid="{00000000-0005-0000-0000-0000C8480000}"/>
    <cellStyle name="Normal 222 2 2 4 2" xfId="18633" xr:uid="{00000000-0005-0000-0000-0000C9480000}"/>
    <cellStyle name="Normal 222 2 2 4 2 2" xfId="18634" xr:uid="{00000000-0005-0000-0000-0000CA480000}"/>
    <cellStyle name="Normal 222 2 2 4 3" xfId="18635" xr:uid="{00000000-0005-0000-0000-0000CB480000}"/>
    <cellStyle name="Normal 222 2 2 5" xfId="18636" xr:uid="{00000000-0005-0000-0000-0000CC480000}"/>
    <cellStyle name="Normal 222 2 3" xfId="18637" xr:uid="{00000000-0005-0000-0000-0000CD480000}"/>
    <cellStyle name="Normal 222 2 3 2" xfId="18638" xr:uid="{00000000-0005-0000-0000-0000CE480000}"/>
    <cellStyle name="Normal 222 2 3 2 2" xfId="18639" xr:uid="{00000000-0005-0000-0000-0000CF480000}"/>
    <cellStyle name="Normal 222 2 3 2 2 2" xfId="18640" xr:uid="{00000000-0005-0000-0000-0000D0480000}"/>
    <cellStyle name="Normal 222 2 3 2 3" xfId="18641" xr:uid="{00000000-0005-0000-0000-0000D1480000}"/>
    <cellStyle name="Normal 222 2 3 2 3 2" xfId="18642" xr:uid="{00000000-0005-0000-0000-0000D2480000}"/>
    <cellStyle name="Normal 222 2 3 2 3 2 2" xfId="18643" xr:uid="{00000000-0005-0000-0000-0000D3480000}"/>
    <cellStyle name="Normal 222 2 3 2 3 3" xfId="18644" xr:uid="{00000000-0005-0000-0000-0000D4480000}"/>
    <cellStyle name="Normal 222 2 3 2 4" xfId="18645" xr:uid="{00000000-0005-0000-0000-0000D5480000}"/>
    <cellStyle name="Normal 222 2 3 3" xfId="18646" xr:uid="{00000000-0005-0000-0000-0000D6480000}"/>
    <cellStyle name="Normal 222 2 3 3 2" xfId="18647" xr:uid="{00000000-0005-0000-0000-0000D7480000}"/>
    <cellStyle name="Normal 222 2 3 3 2 2" xfId="18648" xr:uid="{00000000-0005-0000-0000-0000D8480000}"/>
    <cellStyle name="Normal 222 2 3 3 3" xfId="18649" xr:uid="{00000000-0005-0000-0000-0000D9480000}"/>
    <cellStyle name="Normal 222 2 3 4" xfId="18650" xr:uid="{00000000-0005-0000-0000-0000DA480000}"/>
    <cellStyle name="Normal 222 2 3 4 2" xfId="18651" xr:uid="{00000000-0005-0000-0000-0000DB480000}"/>
    <cellStyle name="Normal 222 2 3 4 2 2" xfId="18652" xr:uid="{00000000-0005-0000-0000-0000DC480000}"/>
    <cellStyle name="Normal 222 2 3 4 3" xfId="18653" xr:uid="{00000000-0005-0000-0000-0000DD480000}"/>
    <cellStyle name="Normal 222 2 3 5" xfId="18654" xr:uid="{00000000-0005-0000-0000-0000DE480000}"/>
    <cellStyle name="Normal 222 2 3 5 2" xfId="18655" xr:uid="{00000000-0005-0000-0000-0000DF480000}"/>
    <cellStyle name="Normal 222 2 3 5 2 2" xfId="18656" xr:uid="{00000000-0005-0000-0000-0000E0480000}"/>
    <cellStyle name="Normal 222 2 3 5 3" xfId="18657" xr:uid="{00000000-0005-0000-0000-0000E1480000}"/>
    <cellStyle name="Normal 222 2 3 6" xfId="18658" xr:uid="{00000000-0005-0000-0000-0000E2480000}"/>
    <cellStyle name="Normal 222 2 4" xfId="18659" xr:uid="{00000000-0005-0000-0000-0000E3480000}"/>
    <cellStyle name="Normal 222 2 4 2" xfId="18660" xr:uid="{00000000-0005-0000-0000-0000E4480000}"/>
    <cellStyle name="Normal 222 2 4 2 2" xfId="18661" xr:uid="{00000000-0005-0000-0000-0000E5480000}"/>
    <cellStyle name="Normal 222 2 4 3" xfId="18662" xr:uid="{00000000-0005-0000-0000-0000E6480000}"/>
    <cellStyle name="Normal 222 2 5" xfId="18663" xr:uid="{00000000-0005-0000-0000-0000E7480000}"/>
    <cellStyle name="Normal 222 2 5 2" xfId="18664" xr:uid="{00000000-0005-0000-0000-0000E8480000}"/>
    <cellStyle name="Normal 222 2 5 2 2" xfId="18665" xr:uid="{00000000-0005-0000-0000-0000E9480000}"/>
    <cellStyle name="Normal 222 2 5 3" xfId="18666" xr:uid="{00000000-0005-0000-0000-0000EA480000}"/>
    <cellStyle name="Normal 222 2 6" xfId="18667" xr:uid="{00000000-0005-0000-0000-0000EB480000}"/>
    <cellStyle name="Normal 222 2 6 2" xfId="18668" xr:uid="{00000000-0005-0000-0000-0000EC480000}"/>
    <cellStyle name="Normal 222 2 6 2 2" xfId="18669" xr:uid="{00000000-0005-0000-0000-0000ED480000}"/>
    <cellStyle name="Normal 222 2 6 3" xfId="18670" xr:uid="{00000000-0005-0000-0000-0000EE480000}"/>
    <cellStyle name="Normal 222 2 7" xfId="18671" xr:uid="{00000000-0005-0000-0000-0000EF480000}"/>
    <cellStyle name="Normal 222 3" xfId="18672" xr:uid="{00000000-0005-0000-0000-0000F0480000}"/>
    <cellStyle name="Normal 222 3 2" xfId="18673" xr:uid="{00000000-0005-0000-0000-0000F1480000}"/>
    <cellStyle name="Normal 222 3 2 2" xfId="18674" xr:uid="{00000000-0005-0000-0000-0000F2480000}"/>
    <cellStyle name="Normal 222 3 3" xfId="18675" xr:uid="{00000000-0005-0000-0000-0000F3480000}"/>
    <cellStyle name="Normal 222 3 3 2" xfId="18676" xr:uid="{00000000-0005-0000-0000-0000F4480000}"/>
    <cellStyle name="Normal 222 3 3 2 2" xfId="18677" xr:uid="{00000000-0005-0000-0000-0000F5480000}"/>
    <cellStyle name="Normal 222 3 3 3" xfId="18678" xr:uid="{00000000-0005-0000-0000-0000F6480000}"/>
    <cellStyle name="Normal 222 3 4" xfId="18679" xr:uid="{00000000-0005-0000-0000-0000F7480000}"/>
    <cellStyle name="Normal 222 3 4 2" xfId="18680" xr:uid="{00000000-0005-0000-0000-0000F8480000}"/>
    <cellStyle name="Normal 222 3 4 2 2" xfId="18681" xr:uid="{00000000-0005-0000-0000-0000F9480000}"/>
    <cellStyle name="Normal 222 3 4 3" xfId="18682" xr:uid="{00000000-0005-0000-0000-0000FA480000}"/>
    <cellStyle name="Normal 222 3 5" xfId="18683" xr:uid="{00000000-0005-0000-0000-0000FB480000}"/>
    <cellStyle name="Normal 222 4" xfId="18684" xr:uid="{00000000-0005-0000-0000-0000FC480000}"/>
    <cellStyle name="Normal 222 4 2" xfId="18685" xr:uid="{00000000-0005-0000-0000-0000FD480000}"/>
    <cellStyle name="Normal 222 4 2 2" xfId="18686" xr:uid="{00000000-0005-0000-0000-0000FE480000}"/>
    <cellStyle name="Normal 222 4 2 2 2" xfId="18687" xr:uid="{00000000-0005-0000-0000-0000FF480000}"/>
    <cellStyle name="Normal 222 4 2 3" xfId="18688" xr:uid="{00000000-0005-0000-0000-000000490000}"/>
    <cellStyle name="Normal 222 4 2 3 2" xfId="18689" xr:uid="{00000000-0005-0000-0000-000001490000}"/>
    <cellStyle name="Normal 222 4 2 3 2 2" xfId="18690" xr:uid="{00000000-0005-0000-0000-000002490000}"/>
    <cellStyle name="Normal 222 4 2 3 3" xfId="18691" xr:uid="{00000000-0005-0000-0000-000003490000}"/>
    <cellStyle name="Normal 222 4 2 4" xfId="18692" xr:uid="{00000000-0005-0000-0000-000004490000}"/>
    <cellStyle name="Normal 222 4 3" xfId="18693" xr:uid="{00000000-0005-0000-0000-000005490000}"/>
    <cellStyle name="Normal 222 4 3 2" xfId="18694" xr:uid="{00000000-0005-0000-0000-000006490000}"/>
    <cellStyle name="Normal 222 4 3 2 2" xfId="18695" xr:uid="{00000000-0005-0000-0000-000007490000}"/>
    <cellStyle name="Normal 222 4 3 3" xfId="18696" xr:uid="{00000000-0005-0000-0000-000008490000}"/>
    <cellStyle name="Normal 222 4 4" xfId="18697" xr:uid="{00000000-0005-0000-0000-000009490000}"/>
    <cellStyle name="Normal 222 4 4 2" xfId="18698" xr:uid="{00000000-0005-0000-0000-00000A490000}"/>
    <cellStyle name="Normal 222 4 4 2 2" xfId="18699" xr:uid="{00000000-0005-0000-0000-00000B490000}"/>
    <cellStyle name="Normal 222 4 4 3" xfId="18700" xr:uid="{00000000-0005-0000-0000-00000C490000}"/>
    <cellStyle name="Normal 222 4 5" xfId="18701" xr:uid="{00000000-0005-0000-0000-00000D490000}"/>
    <cellStyle name="Normal 222 4 5 2" xfId="18702" xr:uid="{00000000-0005-0000-0000-00000E490000}"/>
    <cellStyle name="Normal 222 4 5 2 2" xfId="18703" xr:uid="{00000000-0005-0000-0000-00000F490000}"/>
    <cellStyle name="Normal 222 4 5 3" xfId="18704" xr:uid="{00000000-0005-0000-0000-000010490000}"/>
    <cellStyle name="Normal 222 4 6" xfId="18705" xr:uid="{00000000-0005-0000-0000-000011490000}"/>
    <cellStyle name="Normal 222 5" xfId="18706" xr:uid="{00000000-0005-0000-0000-000012490000}"/>
    <cellStyle name="Normal 222 5 2" xfId="18707" xr:uid="{00000000-0005-0000-0000-000013490000}"/>
    <cellStyle name="Normal 222 5 2 2" xfId="18708" xr:uid="{00000000-0005-0000-0000-000014490000}"/>
    <cellStyle name="Normal 222 5 3" xfId="18709" xr:uid="{00000000-0005-0000-0000-000015490000}"/>
    <cellStyle name="Normal 222 6" xfId="18710" xr:uid="{00000000-0005-0000-0000-000016490000}"/>
    <cellStyle name="Normal 222 6 2" xfId="18711" xr:uid="{00000000-0005-0000-0000-000017490000}"/>
    <cellStyle name="Normal 222 6 2 2" xfId="18712" xr:uid="{00000000-0005-0000-0000-000018490000}"/>
    <cellStyle name="Normal 222 6 3" xfId="18713" xr:uid="{00000000-0005-0000-0000-000019490000}"/>
    <cellStyle name="Normal 222 7" xfId="18714" xr:uid="{00000000-0005-0000-0000-00001A490000}"/>
    <cellStyle name="Normal 222 7 2" xfId="18715" xr:uid="{00000000-0005-0000-0000-00001B490000}"/>
    <cellStyle name="Normal 222 7 2 2" xfId="18716" xr:uid="{00000000-0005-0000-0000-00001C490000}"/>
    <cellStyle name="Normal 222 7 3" xfId="18717" xr:uid="{00000000-0005-0000-0000-00001D490000}"/>
    <cellStyle name="Normal 222 8" xfId="18718" xr:uid="{00000000-0005-0000-0000-00001E490000}"/>
    <cellStyle name="Normal 223" xfId="18719" xr:uid="{00000000-0005-0000-0000-00001F490000}"/>
    <cellStyle name="Normal 223 2" xfId="18720" xr:uid="{00000000-0005-0000-0000-000020490000}"/>
    <cellStyle name="Normal 223 2 2" xfId="18721" xr:uid="{00000000-0005-0000-0000-000021490000}"/>
    <cellStyle name="Normal 223 2 2 2" xfId="18722" xr:uid="{00000000-0005-0000-0000-000022490000}"/>
    <cellStyle name="Normal 223 2 2 2 2" xfId="18723" xr:uid="{00000000-0005-0000-0000-000023490000}"/>
    <cellStyle name="Normal 223 2 2 3" xfId="18724" xr:uid="{00000000-0005-0000-0000-000024490000}"/>
    <cellStyle name="Normal 223 2 2 3 2" xfId="18725" xr:uid="{00000000-0005-0000-0000-000025490000}"/>
    <cellStyle name="Normal 223 2 2 3 2 2" xfId="18726" xr:uid="{00000000-0005-0000-0000-000026490000}"/>
    <cellStyle name="Normal 223 2 2 3 3" xfId="18727" xr:uid="{00000000-0005-0000-0000-000027490000}"/>
    <cellStyle name="Normal 223 2 2 4" xfId="18728" xr:uid="{00000000-0005-0000-0000-000028490000}"/>
    <cellStyle name="Normal 223 2 2 4 2" xfId="18729" xr:uid="{00000000-0005-0000-0000-000029490000}"/>
    <cellStyle name="Normal 223 2 2 4 2 2" xfId="18730" xr:uid="{00000000-0005-0000-0000-00002A490000}"/>
    <cellStyle name="Normal 223 2 2 4 3" xfId="18731" xr:uid="{00000000-0005-0000-0000-00002B490000}"/>
    <cellStyle name="Normal 223 2 2 5" xfId="18732" xr:uid="{00000000-0005-0000-0000-00002C490000}"/>
    <cellStyle name="Normal 223 2 3" xfId="18733" xr:uid="{00000000-0005-0000-0000-00002D490000}"/>
    <cellStyle name="Normal 223 2 3 2" xfId="18734" xr:uid="{00000000-0005-0000-0000-00002E490000}"/>
    <cellStyle name="Normal 223 2 3 2 2" xfId="18735" xr:uid="{00000000-0005-0000-0000-00002F490000}"/>
    <cellStyle name="Normal 223 2 3 2 2 2" xfId="18736" xr:uid="{00000000-0005-0000-0000-000030490000}"/>
    <cellStyle name="Normal 223 2 3 2 3" xfId="18737" xr:uid="{00000000-0005-0000-0000-000031490000}"/>
    <cellStyle name="Normal 223 2 3 2 3 2" xfId="18738" xr:uid="{00000000-0005-0000-0000-000032490000}"/>
    <cellStyle name="Normal 223 2 3 2 3 2 2" xfId="18739" xr:uid="{00000000-0005-0000-0000-000033490000}"/>
    <cellStyle name="Normal 223 2 3 2 3 3" xfId="18740" xr:uid="{00000000-0005-0000-0000-000034490000}"/>
    <cellStyle name="Normal 223 2 3 2 4" xfId="18741" xr:uid="{00000000-0005-0000-0000-000035490000}"/>
    <cellStyle name="Normal 223 2 3 3" xfId="18742" xr:uid="{00000000-0005-0000-0000-000036490000}"/>
    <cellStyle name="Normal 223 2 3 3 2" xfId="18743" xr:uid="{00000000-0005-0000-0000-000037490000}"/>
    <cellStyle name="Normal 223 2 3 3 2 2" xfId="18744" xr:uid="{00000000-0005-0000-0000-000038490000}"/>
    <cellStyle name="Normal 223 2 3 3 3" xfId="18745" xr:uid="{00000000-0005-0000-0000-000039490000}"/>
    <cellStyle name="Normal 223 2 3 4" xfId="18746" xr:uid="{00000000-0005-0000-0000-00003A490000}"/>
    <cellStyle name="Normal 223 2 3 4 2" xfId="18747" xr:uid="{00000000-0005-0000-0000-00003B490000}"/>
    <cellStyle name="Normal 223 2 3 4 2 2" xfId="18748" xr:uid="{00000000-0005-0000-0000-00003C490000}"/>
    <cellStyle name="Normal 223 2 3 4 3" xfId="18749" xr:uid="{00000000-0005-0000-0000-00003D490000}"/>
    <cellStyle name="Normal 223 2 3 5" xfId="18750" xr:uid="{00000000-0005-0000-0000-00003E490000}"/>
    <cellStyle name="Normal 223 2 3 5 2" xfId="18751" xr:uid="{00000000-0005-0000-0000-00003F490000}"/>
    <cellStyle name="Normal 223 2 3 5 2 2" xfId="18752" xr:uid="{00000000-0005-0000-0000-000040490000}"/>
    <cellStyle name="Normal 223 2 3 5 3" xfId="18753" xr:uid="{00000000-0005-0000-0000-000041490000}"/>
    <cellStyle name="Normal 223 2 3 6" xfId="18754" xr:uid="{00000000-0005-0000-0000-000042490000}"/>
    <cellStyle name="Normal 223 2 4" xfId="18755" xr:uid="{00000000-0005-0000-0000-000043490000}"/>
    <cellStyle name="Normal 223 2 4 2" xfId="18756" xr:uid="{00000000-0005-0000-0000-000044490000}"/>
    <cellStyle name="Normal 223 2 4 2 2" xfId="18757" xr:uid="{00000000-0005-0000-0000-000045490000}"/>
    <cellStyle name="Normal 223 2 4 3" xfId="18758" xr:uid="{00000000-0005-0000-0000-000046490000}"/>
    <cellStyle name="Normal 223 2 5" xfId="18759" xr:uid="{00000000-0005-0000-0000-000047490000}"/>
    <cellStyle name="Normal 223 2 5 2" xfId="18760" xr:uid="{00000000-0005-0000-0000-000048490000}"/>
    <cellStyle name="Normal 223 2 5 2 2" xfId="18761" xr:uid="{00000000-0005-0000-0000-000049490000}"/>
    <cellStyle name="Normal 223 2 5 3" xfId="18762" xr:uid="{00000000-0005-0000-0000-00004A490000}"/>
    <cellStyle name="Normal 223 2 6" xfId="18763" xr:uid="{00000000-0005-0000-0000-00004B490000}"/>
    <cellStyle name="Normal 223 2 6 2" xfId="18764" xr:uid="{00000000-0005-0000-0000-00004C490000}"/>
    <cellStyle name="Normal 223 2 6 2 2" xfId="18765" xr:uid="{00000000-0005-0000-0000-00004D490000}"/>
    <cellStyle name="Normal 223 2 6 3" xfId="18766" xr:uid="{00000000-0005-0000-0000-00004E490000}"/>
    <cellStyle name="Normal 223 2 7" xfId="18767" xr:uid="{00000000-0005-0000-0000-00004F490000}"/>
    <cellStyle name="Normal 223 3" xfId="18768" xr:uid="{00000000-0005-0000-0000-000050490000}"/>
    <cellStyle name="Normal 223 3 2" xfId="18769" xr:uid="{00000000-0005-0000-0000-000051490000}"/>
    <cellStyle name="Normal 223 3 2 2" xfId="18770" xr:uid="{00000000-0005-0000-0000-000052490000}"/>
    <cellStyle name="Normal 223 3 3" xfId="18771" xr:uid="{00000000-0005-0000-0000-000053490000}"/>
    <cellStyle name="Normal 223 3 3 2" xfId="18772" xr:uid="{00000000-0005-0000-0000-000054490000}"/>
    <cellStyle name="Normal 223 3 3 2 2" xfId="18773" xr:uid="{00000000-0005-0000-0000-000055490000}"/>
    <cellStyle name="Normal 223 3 3 3" xfId="18774" xr:uid="{00000000-0005-0000-0000-000056490000}"/>
    <cellStyle name="Normal 223 3 4" xfId="18775" xr:uid="{00000000-0005-0000-0000-000057490000}"/>
    <cellStyle name="Normal 223 3 4 2" xfId="18776" xr:uid="{00000000-0005-0000-0000-000058490000}"/>
    <cellStyle name="Normal 223 3 4 2 2" xfId="18777" xr:uid="{00000000-0005-0000-0000-000059490000}"/>
    <cellStyle name="Normal 223 3 4 3" xfId="18778" xr:uid="{00000000-0005-0000-0000-00005A490000}"/>
    <cellStyle name="Normal 223 3 5" xfId="18779" xr:uid="{00000000-0005-0000-0000-00005B490000}"/>
    <cellStyle name="Normal 223 4" xfId="18780" xr:uid="{00000000-0005-0000-0000-00005C490000}"/>
    <cellStyle name="Normal 223 4 2" xfId="18781" xr:uid="{00000000-0005-0000-0000-00005D490000}"/>
    <cellStyle name="Normal 223 4 2 2" xfId="18782" xr:uid="{00000000-0005-0000-0000-00005E490000}"/>
    <cellStyle name="Normal 223 4 2 2 2" xfId="18783" xr:uid="{00000000-0005-0000-0000-00005F490000}"/>
    <cellStyle name="Normal 223 4 2 3" xfId="18784" xr:uid="{00000000-0005-0000-0000-000060490000}"/>
    <cellStyle name="Normal 223 4 2 3 2" xfId="18785" xr:uid="{00000000-0005-0000-0000-000061490000}"/>
    <cellStyle name="Normal 223 4 2 3 2 2" xfId="18786" xr:uid="{00000000-0005-0000-0000-000062490000}"/>
    <cellStyle name="Normal 223 4 2 3 3" xfId="18787" xr:uid="{00000000-0005-0000-0000-000063490000}"/>
    <cellStyle name="Normal 223 4 2 4" xfId="18788" xr:uid="{00000000-0005-0000-0000-000064490000}"/>
    <cellStyle name="Normal 223 4 3" xfId="18789" xr:uid="{00000000-0005-0000-0000-000065490000}"/>
    <cellStyle name="Normal 223 4 3 2" xfId="18790" xr:uid="{00000000-0005-0000-0000-000066490000}"/>
    <cellStyle name="Normal 223 4 3 2 2" xfId="18791" xr:uid="{00000000-0005-0000-0000-000067490000}"/>
    <cellStyle name="Normal 223 4 3 3" xfId="18792" xr:uid="{00000000-0005-0000-0000-000068490000}"/>
    <cellStyle name="Normal 223 4 4" xfId="18793" xr:uid="{00000000-0005-0000-0000-000069490000}"/>
    <cellStyle name="Normal 223 4 4 2" xfId="18794" xr:uid="{00000000-0005-0000-0000-00006A490000}"/>
    <cellStyle name="Normal 223 4 4 2 2" xfId="18795" xr:uid="{00000000-0005-0000-0000-00006B490000}"/>
    <cellStyle name="Normal 223 4 4 3" xfId="18796" xr:uid="{00000000-0005-0000-0000-00006C490000}"/>
    <cellStyle name="Normal 223 4 5" xfId="18797" xr:uid="{00000000-0005-0000-0000-00006D490000}"/>
    <cellStyle name="Normal 223 4 5 2" xfId="18798" xr:uid="{00000000-0005-0000-0000-00006E490000}"/>
    <cellStyle name="Normal 223 4 5 2 2" xfId="18799" xr:uid="{00000000-0005-0000-0000-00006F490000}"/>
    <cellStyle name="Normal 223 4 5 3" xfId="18800" xr:uid="{00000000-0005-0000-0000-000070490000}"/>
    <cellStyle name="Normal 223 4 6" xfId="18801" xr:uid="{00000000-0005-0000-0000-000071490000}"/>
    <cellStyle name="Normal 223 5" xfId="18802" xr:uid="{00000000-0005-0000-0000-000072490000}"/>
    <cellStyle name="Normal 223 5 2" xfId="18803" xr:uid="{00000000-0005-0000-0000-000073490000}"/>
    <cellStyle name="Normal 223 5 2 2" xfId="18804" xr:uid="{00000000-0005-0000-0000-000074490000}"/>
    <cellStyle name="Normal 223 5 3" xfId="18805" xr:uid="{00000000-0005-0000-0000-000075490000}"/>
    <cellStyle name="Normal 223 6" xfId="18806" xr:uid="{00000000-0005-0000-0000-000076490000}"/>
    <cellStyle name="Normal 223 6 2" xfId="18807" xr:uid="{00000000-0005-0000-0000-000077490000}"/>
    <cellStyle name="Normal 223 6 2 2" xfId="18808" xr:uid="{00000000-0005-0000-0000-000078490000}"/>
    <cellStyle name="Normal 223 6 3" xfId="18809" xr:uid="{00000000-0005-0000-0000-000079490000}"/>
    <cellStyle name="Normal 223 7" xfId="18810" xr:uid="{00000000-0005-0000-0000-00007A490000}"/>
    <cellStyle name="Normal 223 7 2" xfId="18811" xr:uid="{00000000-0005-0000-0000-00007B490000}"/>
    <cellStyle name="Normal 223 7 2 2" xfId="18812" xr:uid="{00000000-0005-0000-0000-00007C490000}"/>
    <cellStyle name="Normal 223 7 3" xfId="18813" xr:uid="{00000000-0005-0000-0000-00007D490000}"/>
    <cellStyle name="Normal 223 8" xfId="18814" xr:uid="{00000000-0005-0000-0000-00007E490000}"/>
    <cellStyle name="Normal 224" xfId="18815" xr:uid="{00000000-0005-0000-0000-00007F490000}"/>
    <cellStyle name="Normal 224 2" xfId="18816" xr:uid="{00000000-0005-0000-0000-000080490000}"/>
    <cellStyle name="Normal 224 2 2" xfId="18817" xr:uid="{00000000-0005-0000-0000-000081490000}"/>
    <cellStyle name="Normal 224 2 2 2" xfId="18818" xr:uid="{00000000-0005-0000-0000-000082490000}"/>
    <cellStyle name="Normal 224 2 2 2 2" xfId="18819" xr:uid="{00000000-0005-0000-0000-000083490000}"/>
    <cellStyle name="Normal 224 2 2 3" xfId="18820" xr:uid="{00000000-0005-0000-0000-000084490000}"/>
    <cellStyle name="Normal 224 2 2 3 2" xfId="18821" xr:uid="{00000000-0005-0000-0000-000085490000}"/>
    <cellStyle name="Normal 224 2 2 3 2 2" xfId="18822" xr:uid="{00000000-0005-0000-0000-000086490000}"/>
    <cellStyle name="Normal 224 2 2 3 3" xfId="18823" xr:uid="{00000000-0005-0000-0000-000087490000}"/>
    <cellStyle name="Normal 224 2 2 4" xfId="18824" xr:uid="{00000000-0005-0000-0000-000088490000}"/>
    <cellStyle name="Normal 224 2 2 4 2" xfId="18825" xr:uid="{00000000-0005-0000-0000-000089490000}"/>
    <cellStyle name="Normal 224 2 2 4 2 2" xfId="18826" xr:uid="{00000000-0005-0000-0000-00008A490000}"/>
    <cellStyle name="Normal 224 2 2 4 3" xfId="18827" xr:uid="{00000000-0005-0000-0000-00008B490000}"/>
    <cellStyle name="Normal 224 2 2 5" xfId="18828" xr:uid="{00000000-0005-0000-0000-00008C490000}"/>
    <cellStyle name="Normal 224 2 3" xfId="18829" xr:uid="{00000000-0005-0000-0000-00008D490000}"/>
    <cellStyle name="Normal 224 2 3 2" xfId="18830" xr:uid="{00000000-0005-0000-0000-00008E490000}"/>
    <cellStyle name="Normal 224 2 3 2 2" xfId="18831" xr:uid="{00000000-0005-0000-0000-00008F490000}"/>
    <cellStyle name="Normal 224 2 3 2 2 2" xfId="18832" xr:uid="{00000000-0005-0000-0000-000090490000}"/>
    <cellStyle name="Normal 224 2 3 2 3" xfId="18833" xr:uid="{00000000-0005-0000-0000-000091490000}"/>
    <cellStyle name="Normal 224 2 3 2 3 2" xfId="18834" xr:uid="{00000000-0005-0000-0000-000092490000}"/>
    <cellStyle name="Normal 224 2 3 2 3 2 2" xfId="18835" xr:uid="{00000000-0005-0000-0000-000093490000}"/>
    <cellStyle name="Normal 224 2 3 2 3 3" xfId="18836" xr:uid="{00000000-0005-0000-0000-000094490000}"/>
    <cellStyle name="Normal 224 2 3 2 4" xfId="18837" xr:uid="{00000000-0005-0000-0000-000095490000}"/>
    <cellStyle name="Normal 224 2 3 3" xfId="18838" xr:uid="{00000000-0005-0000-0000-000096490000}"/>
    <cellStyle name="Normal 224 2 3 3 2" xfId="18839" xr:uid="{00000000-0005-0000-0000-000097490000}"/>
    <cellStyle name="Normal 224 2 3 3 2 2" xfId="18840" xr:uid="{00000000-0005-0000-0000-000098490000}"/>
    <cellStyle name="Normal 224 2 3 3 3" xfId="18841" xr:uid="{00000000-0005-0000-0000-000099490000}"/>
    <cellStyle name="Normal 224 2 3 4" xfId="18842" xr:uid="{00000000-0005-0000-0000-00009A490000}"/>
    <cellStyle name="Normal 224 2 3 4 2" xfId="18843" xr:uid="{00000000-0005-0000-0000-00009B490000}"/>
    <cellStyle name="Normal 224 2 3 4 2 2" xfId="18844" xr:uid="{00000000-0005-0000-0000-00009C490000}"/>
    <cellStyle name="Normal 224 2 3 4 3" xfId="18845" xr:uid="{00000000-0005-0000-0000-00009D490000}"/>
    <cellStyle name="Normal 224 2 3 5" xfId="18846" xr:uid="{00000000-0005-0000-0000-00009E490000}"/>
    <cellStyle name="Normal 224 2 3 5 2" xfId="18847" xr:uid="{00000000-0005-0000-0000-00009F490000}"/>
    <cellStyle name="Normal 224 2 3 5 2 2" xfId="18848" xr:uid="{00000000-0005-0000-0000-0000A0490000}"/>
    <cellStyle name="Normal 224 2 3 5 3" xfId="18849" xr:uid="{00000000-0005-0000-0000-0000A1490000}"/>
    <cellStyle name="Normal 224 2 3 6" xfId="18850" xr:uid="{00000000-0005-0000-0000-0000A2490000}"/>
    <cellStyle name="Normal 224 2 4" xfId="18851" xr:uid="{00000000-0005-0000-0000-0000A3490000}"/>
    <cellStyle name="Normal 224 2 4 2" xfId="18852" xr:uid="{00000000-0005-0000-0000-0000A4490000}"/>
    <cellStyle name="Normal 224 2 4 2 2" xfId="18853" xr:uid="{00000000-0005-0000-0000-0000A5490000}"/>
    <cellStyle name="Normal 224 2 4 3" xfId="18854" xr:uid="{00000000-0005-0000-0000-0000A6490000}"/>
    <cellStyle name="Normal 224 2 5" xfId="18855" xr:uid="{00000000-0005-0000-0000-0000A7490000}"/>
    <cellStyle name="Normal 224 2 5 2" xfId="18856" xr:uid="{00000000-0005-0000-0000-0000A8490000}"/>
    <cellStyle name="Normal 224 2 5 2 2" xfId="18857" xr:uid="{00000000-0005-0000-0000-0000A9490000}"/>
    <cellStyle name="Normal 224 2 5 3" xfId="18858" xr:uid="{00000000-0005-0000-0000-0000AA490000}"/>
    <cellStyle name="Normal 224 2 6" xfId="18859" xr:uid="{00000000-0005-0000-0000-0000AB490000}"/>
    <cellStyle name="Normal 224 2 6 2" xfId="18860" xr:uid="{00000000-0005-0000-0000-0000AC490000}"/>
    <cellStyle name="Normal 224 2 6 2 2" xfId="18861" xr:uid="{00000000-0005-0000-0000-0000AD490000}"/>
    <cellStyle name="Normal 224 2 6 3" xfId="18862" xr:uid="{00000000-0005-0000-0000-0000AE490000}"/>
    <cellStyle name="Normal 224 2 7" xfId="18863" xr:uid="{00000000-0005-0000-0000-0000AF490000}"/>
    <cellStyle name="Normal 224 3" xfId="18864" xr:uid="{00000000-0005-0000-0000-0000B0490000}"/>
    <cellStyle name="Normal 224 3 2" xfId="18865" xr:uid="{00000000-0005-0000-0000-0000B1490000}"/>
    <cellStyle name="Normal 224 3 2 2" xfId="18866" xr:uid="{00000000-0005-0000-0000-0000B2490000}"/>
    <cellStyle name="Normal 224 3 3" xfId="18867" xr:uid="{00000000-0005-0000-0000-0000B3490000}"/>
    <cellStyle name="Normal 224 3 3 2" xfId="18868" xr:uid="{00000000-0005-0000-0000-0000B4490000}"/>
    <cellStyle name="Normal 224 3 3 2 2" xfId="18869" xr:uid="{00000000-0005-0000-0000-0000B5490000}"/>
    <cellStyle name="Normal 224 3 3 3" xfId="18870" xr:uid="{00000000-0005-0000-0000-0000B6490000}"/>
    <cellStyle name="Normal 224 3 4" xfId="18871" xr:uid="{00000000-0005-0000-0000-0000B7490000}"/>
    <cellStyle name="Normal 224 3 4 2" xfId="18872" xr:uid="{00000000-0005-0000-0000-0000B8490000}"/>
    <cellStyle name="Normal 224 3 4 2 2" xfId="18873" xr:uid="{00000000-0005-0000-0000-0000B9490000}"/>
    <cellStyle name="Normal 224 3 4 3" xfId="18874" xr:uid="{00000000-0005-0000-0000-0000BA490000}"/>
    <cellStyle name="Normal 224 3 5" xfId="18875" xr:uid="{00000000-0005-0000-0000-0000BB490000}"/>
    <cellStyle name="Normal 224 4" xfId="18876" xr:uid="{00000000-0005-0000-0000-0000BC490000}"/>
    <cellStyle name="Normal 224 4 2" xfId="18877" xr:uid="{00000000-0005-0000-0000-0000BD490000}"/>
    <cellStyle name="Normal 224 4 2 2" xfId="18878" xr:uid="{00000000-0005-0000-0000-0000BE490000}"/>
    <cellStyle name="Normal 224 4 2 2 2" xfId="18879" xr:uid="{00000000-0005-0000-0000-0000BF490000}"/>
    <cellStyle name="Normal 224 4 2 3" xfId="18880" xr:uid="{00000000-0005-0000-0000-0000C0490000}"/>
    <cellStyle name="Normal 224 4 2 3 2" xfId="18881" xr:uid="{00000000-0005-0000-0000-0000C1490000}"/>
    <cellStyle name="Normal 224 4 2 3 2 2" xfId="18882" xr:uid="{00000000-0005-0000-0000-0000C2490000}"/>
    <cellStyle name="Normal 224 4 2 3 3" xfId="18883" xr:uid="{00000000-0005-0000-0000-0000C3490000}"/>
    <cellStyle name="Normal 224 4 2 4" xfId="18884" xr:uid="{00000000-0005-0000-0000-0000C4490000}"/>
    <cellStyle name="Normal 224 4 3" xfId="18885" xr:uid="{00000000-0005-0000-0000-0000C5490000}"/>
    <cellStyle name="Normal 224 4 3 2" xfId="18886" xr:uid="{00000000-0005-0000-0000-0000C6490000}"/>
    <cellStyle name="Normal 224 4 3 2 2" xfId="18887" xr:uid="{00000000-0005-0000-0000-0000C7490000}"/>
    <cellStyle name="Normal 224 4 3 3" xfId="18888" xr:uid="{00000000-0005-0000-0000-0000C8490000}"/>
    <cellStyle name="Normal 224 4 4" xfId="18889" xr:uid="{00000000-0005-0000-0000-0000C9490000}"/>
    <cellStyle name="Normal 224 4 4 2" xfId="18890" xr:uid="{00000000-0005-0000-0000-0000CA490000}"/>
    <cellStyle name="Normal 224 4 4 2 2" xfId="18891" xr:uid="{00000000-0005-0000-0000-0000CB490000}"/>
    <cellStyle name="Normal 224 4 4 3" xfId="18892" xr:uid="{00000000-0005-0000-0000-0000CC490000}"/>
    <cellStyle name="Normal 224 4 5" xfId="18893" xr:uid="{00000000-0005-0000-0000-0000CD490000}"/>
    <cellStyle name="Normal 224 4 5 2" xfId="18894" xr:uid="{00000000-0005-0000-0000-0000CE490000}"/>
    <cellStyle name="Normal 224 4 5 2 2" xfId="18895" xr:uid="{00000000-0005-0000-0000-0000CF490000}"/>
    <cellStyle name="Normal 224 4 5 3" xfId="18896" xr:uid="{00000000-0005-0000-0000-0000D0490000}"/>
    <cellStyle name="Normal 224 4 6" xfId="18897" xr:uid="{00000000-0005-0000-0000-0000D1490000}"/>
    <cellStyle name="Normal 224 5" xfId="18898" xr:uid="{00000000-0005-0000-0000-0000D2490000}"/>
    <cellStyle name="Normal 224 5 2" xfId="18899" xr:uid="{00000000-0005-0000-0000-0000D3490000}"/>
    <cellStyle name="Normal 224 5 2 2" xfId="18900" xr:uid="{00000000-0005-0000-0000-0000D4490000}"/>
    <cellStyle name="Normal 224 5 3" xfId="18901" xr:uid="{00000000-0005-0000-0000-0000D5490000}"/>
    <cellStyle name="Normal 224 6" xfId="18902" xr:uid="{00000000-0005-0000-0000-0000D6490000}"/>
    <cellStyle name="Normal 224 6 2" xfId="18903" xr:uid="{00000000-0005-0000-0000-0000D7490000}"/>
    <cellStyle name="Normal 224 6 2 2" xfId="18904" xr:uid="{00000000-0005-0000-0000-0000D8490000}"/>
    <cellStyle name="Normal 224 6 3" xfId="18905" xr:uid="{00000000-0005-0000-0000-0000D9490000}"/>
    <cellStyle name="Normal 224 7" xfId="18906" xr:uid="{00000000-0005-0000-0000-0000DA490000}"/>
    <cellStyle name="Normal 224 7 2" xfId="18907" xr:uid="{00000000-0005-0000-0000-0000DB490000}"/>
    <cellStyle name="Normal 224 7 2 2" xfId="18908" xr:uid="{00000000-0005-0000-0000-0000DC490000}"/>
    <cellStyle name="Normal 224 7 3" xfId="18909" xr:uid="{00000000-0005-0000-0000-0000DD490000}"/>
    <cellStyle name="Normal 224 8" xfId="18910" xr:uid="{00000000-0005-0000-0000-0000DE490000}"/>
    <cellStyle name="Normal 225" xfId="18911" xr:uid="{00000000-0005-0000-0000-0000DF490000}"/>
    <cellStyle name="Normal 225 2" xfId="18912" xr:uid="{00000000-0005-0000-0000-0000E0490000}"/>
    <cellStyle name="Normal 225 2 2" xfId="18913" xr:uid="{00000000-0005-0000-0000-0000E1490000}"/>
    <cellStyle name="Normal 225 2 2 2" xfId="18914" xr:uid="{00000000-0005-0000-0000-0000E2490000}"/>
    <cellStyle name="Normal 225 2 2 2 2" xfId="18915" xr:uid="{00000000-0005-0000-0000-0000E3490000}"/>
    <cellStyle name="Normal 225 2 2 3" xfId="18916" xr:uid="{00000000-0005-0000-0000-0000E4490000}"/>
    <cellStyle name="Normal 225 2 2 3 2" xfId="18917" xr:uid="{00000000-0005-0000-0000-0000E5490000}"/>
    <cellStyle name="Normal 225 2 2 3 2 2" xfId="18918" xr:uid="{00000000-0005-0000-0000-0000E6490000}"/>
    <cellStyle name="Normal 225 2 2 3 3" xfId="18919" xr:uid="{00000000-0005-0000-0000-0000E7490000}"/>
    <cellStyle name="Normal 225 2 2 4" xfId="18920" xr:uid="{00000000-0005-0000-0000-0000E8490000}"/>
    <cellStyle name="Normal 225 2 2 4 2" xfId="18921" xr:uid="{00000000-0005-0000-0000-0000E9490000}"/>
    <cellStyle name="Normal 225 2 2 4 2 2" xfId="18922" xr:uid="{00000000-0005-0000-0000-0000EA490000}"/>
    <cellStyle name="Normal 225 2 2 4 3" xfId="18923" xr:uid="{00000000-0005-0000-0000-0000EB490000}"/>
    <cellStyle name="Normal 225 2 2 5" xfId="18924" xr:uid="{00000000-0005-0000-0000-0000EC490000}"/>
    <cellStyle name="Normal 225 2 3" xfId="18925" xr:uid="{00000000-0005-0000-0000-0000ED490000}"/>
    <cellStyle name="Normal 225 2 3 2" xfId="18926" xr:uid="{00000000-0005-0000-0000-0000EE490000}"/>
    <cellStyle name="Normal 225 2 3 2 2" xfId="18927" xr:uid="{00000000-0005-0000-0000-0000EF490000}"/>
    <cellStyle name="Normal 225 2 3 2 2 2" xfId="18928" xr:uid="{00000000-0005-0000-0000-0000F0490000}"/>
    <cellStyle name="Normal 225 2 3 2 3" xfId="18929" xr:uid="{00000000-0005-0000-0000-0000F1490000}"/>
    <cellStyle name="Normal 225 2 3 2 3 2" xfId="18930" xr:uid="{00000000-0005-0000-0000-0000F2490000}"/>
    <cellStyle name="Normal 225 2 3 2 3 2 2" xfId="18931" xr:uid="{00000000-0005-0000-0000-0000F3490000}"/>
    <cellStyle name="Normal 225 2 3 2 3 3" xfId="18932" xr:uid="{00000000-0005-0000-0000-0000F4490000}"/>
    <cellStyle name="Normal 225 2 3 2 4" xfId="18933" xr:uid="{00000000-0005-0000-0000-0000F5490000}"/>
    <cellStyle name="Normal 225 2 3 3" xfId="18934" xr:uid="{00000000-0005-0000-0000-0000F6490000}"/>
    <cellStyle name="Normal 225 2 3 3 2" xfId="18935" xr:uid="{00000000-0005-0000-0000-0000F7490000}"/>
    <cellStyle name="Normal 225 2 3 3 2 2" xfId="18936" xr:uid="{00000000-0005-0000-0000-0000F8490000}"/>
    <cellStyle name="Normal 225 2 3 3 3" xfId="18937" xr:uid="{00000000-0005-0000-0000-0000F9490000}"/>
    <cellStyle name="Normal 225 2 3 4" xfId="18938" xr:uid="{00000000-0005-0000-0000-0000FA490000}"/>
    <cellStyle name="Normal 225 2 3 4 2" xfId="18939" xr:uid="{00000000-0005-0000-0000-0000FB490000}"/>
    <cellStyle name="Normal 225 2 3 4 2 2" xfId="18940" xr:uid="{00000000-0005-0000-0000-0000FC490000}"/>
    <cellStyle name="Normal 225 2 3 4 3" xfId="18941" xr:uid="{00000000-0005-0000-0000-0000FD490000}"/>
    <cellStyle name="Normal 225 2 3 5" xfId="18942" xr:uid="{00000000-0005-0000-0000-0000FE490000}"/>
    <cellStyle name="Normal 225 2 3 5 2" xfId="18943" xr:uid="{00000000-0005-0000-0000-0000FF490000}"/>
    <cellStyle name="Normal 225 2 3 5 2 2" xfId="18944" xr:uid="{00000000-0005-0000-0000-0000004A0000}"/>
    <cellStyle name="Normal 225 2 3 5 3" xfId="18945" xr:uid="{00000000-0005-0000-0000-0000014A0000}"/>
    <cellStyle name="Normal 225 2 3 6" xfId="18946" xr:uid="{00000000-0005-0000-0000-0000024A0000}"/>
    <cellStyle name="Normal 225 2 4" xfId="18947" xr:uid="{00000000-0005-0000-0000-0000034A0000}"/>
    <cellStyle name="Normal 225 2 4 2" xfId="18948" xr:uid="{00000000-0005-0000-0000-0000044A0000}"/>
    <cellStyle name="Normal 225 2 4 2 2" xfId="18949" xr:uid="{00000000-0005-0000-0000-0000054A0000}"/>
    <cellStyle name="Normal 225 2 4 3" xfId="18950" xr:uid="{00000000-0005-0000-0000-0000064A0000}"/>
    <cellStyle name="Normal 225 2 5" xfId="18951" xr:uid="{00000000-0005-0000-0000-0000074A0000}"/>
    <cellStyle name="Normal 225 2 5 2" xfId="18952" xr:uid="{00000000-0005-0000-0000-0000084A0000}"/>
    <cellStyle name="Normal 225 2 5 2 2" xfId="18953" xr:uid="{00000000-0005-0000-0000-0000094A0000}"/>
    <cellStyle name="Normal 225 2 5 3" xfId="18954" xr:uid="{00000000-0005-0000-0000-00000A4A0000}"/>
    <cellStyle name="Normal 225 2 6" xfId="18955" xr:uid="{00000000-0005-0000-0000-00000B4A0000}"/>
    <cellStyle name="Normal 225 2 6 2" xfId="18956" xr:uid="{00000000-0005-0000-0000-00000C4A0000}"/>
    <cellStyle name="Normal 225 2 6 2 2" xfId="18957" xr:uid="{00000000-0005-0000-0000-00000D4A0000}"/>
    <cellStyle name="Normal 225 2 6 3" xfId="18958" xr:uid="{00000000-0005-0000-0000-00000E4A0000}"/>
    <cellStyle name="Normal 225 2 7" xfId="18959" xr:uid="{00000000-0005-0000-0000-00000F4A0000}"/>
    <cellStyle name="Normal 225 3" xfId="18960" xr:uid="{00000000-0005-0000-0000-0000104A0000}"/>
    <cellStyle name="Normal 225 3 2" xfId="18961" xr:uid="{00000000-0005-0000-0000-0000114A0000}"/>
    <cellStyle name="Normal 225 3 2 2" xfId="18962" xr:uid="{00000000-0005-0000-0000-0000124A0000}"/>
    <cellStyle name="Normal 225 3 3" xfId="18963" xr:uid="{00000000-0005-0000-0000-0000134A0000}"/>
    <cellStyle name="Normal 225 3 3 2" xfId="18964" xr:uid="{00000000-0005-0000-0000-0000144A0000}"/>
    <cellStyle name="Normal 225 3 3 2 2" xfId="18965" xr:uid="{00000000-0005-0000-0000-0000154A0000}"/>
    <cellStyle name="Normal 225 3 3 3" xfId="18966" xr:uid="{00000000-0005-0000-0000-0000164A0000}"/>
    <cellStyle name="Normal 225 3 4" xfId="18967" xr:uid="{00000000-0005-0000-0000-0000174A0000}"/>
    <cellStyle name="Normal 225 3 4 2" xfId="18968" xr:uid="{00000000-0005-0000-0000-0000184A0000}"/>
    <cellStyle name="Normal 225 3 4 2 2" xfId="18969" xr:uid="{00000000-0005-0000-0000-0000194A0000}"/>
    <cellStyle name="Normal 225 3 4 3" xfId="18970" xr:uid="{00000000-0005-0000-0000-00001A4A0000}"/>
    <cellStyle name="Normal 225 3 5" xfId="18971" xr:uid="{00000000-0005-0000-0000-00001B4A0000}"/>
    <cellStyle name="Normal 225 4" xfId="18972" xr:uid="{00000000-0005-0000-0000-00001C4A0000}"/>
    <cellStyle name="Normal 225 4 2" xfId="18973" xr:uid="{00000000-0005-0000-0000-00001D4A0000}"/>
    <cellStyle name="Normal 225 4 2 2" xfId="18974" xr:uid="{00000000-0005-0000-0000-00001E4A0000}"/>
    <cellStyle name="Normal 225 4 2 2 2" xfId="18975" xr:uid="{00000000-0005-0000-0000-00001F4A0000}"/>
    <cellStyle name="Normal 225 4 2 3" xfId="18976" xr:uid="{00000000-0005-0000-0000-0000204A0000}"/>
    <cellStyle name="Normal 225 4 2 3 2" xfId="18977" xr:uid="{00000000-0005-0000-0000-0000214A0000}"/>
    <cellStyle name="Normal 225 4 2 3 2 2" xfId="18978" xr:uid="{00000000-0005-0000-0000-0000224A0000}"/>
    <cellStyle name="Normal 225 4 2 3 3" xfId="18979" xr:uid="{00000000-0005-0000-0000-0000234A0000}"/>
    <cellStyle name="Normal 225 4 2 4" xfId="18980" xr:uid="{00000000-0005-0000-0000-0000244A0000}"/>
    <cellStyle name="Normal 225 4 3" xfId="18981" xr:uid="{00000000-0005-0000-0000-0000254A0000}"/>
    <cellStyle name="Normal 225 4 3 2" xfId="18982" xr:uid="{00000000-0005-0000-0000-0000264A0000}"/>
    <cellStyle name="Normal 225 4 3 2 2" xfId="18983" xr:uid="{00000000-0005-0000-0000-0000274A0000}"/>
    <cellStyle name="Normal 225 4 3 3" xfId="18984" xr:uid="{00000000-0005-0000-0000-0000284A0000}"/>
    <cellStyle name="Normal 225 4 4" xfId="18985" xr:uid="{00000000-0005-0000-0000-0000294A0000}"/>
    <cellStyle name="Normal 225 4 4 2" xfId="18986" xr:uid="{00000000-0005-0000-0000-00002A4A0000}"/>
    <cellStyle name="Normal 225 4 4 2 2" xfId="18987" xr:uid="{00000000-0005-0000-0000-00002B4A0000}"/>
    <cellStyle name="Normal 225 4 4 3" xfId="18988" xr:uid="{00000000-0005-0000-0000-00002C4A0000}"/>
    <cellStyle name="Normal 225 4 5" xfId="18989" xr:uid="{00000000-0005-0000-0000-00002D4A0000}"/>
    <cellStyle name="Normal 225 4 5 2" xfId="18990" xr:uid="{00000000-0005-0000-0000-00002E4A0000}"/>
    <cellStyle name="Normal 225 4 5 2 2" xfId="18991" xr:uid="{00000000-0005-0000-0000-00002F4A0000}"/>
    <cellStyle name="Normal 225 4 5 3" xfId="18992" xr:uid="{00000000-0005-0000-0000-0000304A0000}"/>
    <cellStyle name="Normal 225 4 6" xfId="18993" xr:uid="{00000000-0005-0000-0000-0000314A0000}"/>
    <cellStyle name="Normal 225 5" xfId="18994" xr:uid="{00000000-0005-0000-0000-0000324A0000}"/>
    <cellStyle name="Normal 225 5 2" xfId="18995" xr:uid="{00000000-0005-0000-0000-0000334A0000}"/>
    <cellStyle name="Normal 225 5 2 2" xfId="18996" xr:uid="{00000000-0005-0000-0000-0000344A0000}"/>
    <cellStyle name="Normal 225 5 3" xfId="18997" xr:uid="{00000000-0005-0000-0000-0000354A0000}"/>
    <cellStyle name="Normal 225 6" xfId="18998" xr:uid="{00000000-0005-0000-0000-0000364A0000}"/>
    <cellStyle name="Normal 225 6 2" xfId="18999" xr:uid="{00000000-0005-0000-0000-0000374A0000}"/>
    <cellStyle name="Normal 225 6 2 2" xfId="19000" xr:uid="{00000000-0005-0000-0000-0000384A0000}"/>
    <cellStyle name="Normal 225 6 3" xfId="19001" xr:uid="{00000000-0005-0000-0000-0000394A0000}"/>
    <cellStyle name="Normal 225 7" xfId="19002" xr:uid="{00000000-0005-0000-0000-00003A4A0000}"/>
    <cellStyle name="Normal 225 7 2" xfId="19003" xr:uid="{00000000-0005-0000-0000-00003B4A0000}"/>
    <cellStyle name="Normal 225 7 2 2" xfId="19004" xr:uid="{00000000-0005-0000-0000-00003C4A0000}"/>
    <cellStyle name="Normal 225 7 3" xfId="19005" xr:uid="{00000000-0005-0000-0000-00003D4A0000}"/>
    <cellStyle name="Normal 225 8" xfId="19006" xr:uid="{00000000-0005-0000-0000-00003E4A0000}"/>
    <cellStyle name="Normal 226" xfId="19007" xr:uid="{00000000-0005-0000-0000-00003F4A0000}"/>
    <cellStyle name="Normal 226 2" xfId="19008" xr:uid="{00000000-0005-0000-0000-0000404A0000}"/>
    <cellStyle name="Normal 226 2 2" xfId="19009" xr:uid="{00000000-0005-0000-0000-0000414A0000}"/>
    <cellStyle name="Normal 226 2 2 2" xfId="19010" xr:uid="{00000000-0005-0000-0000-0000424A0000}"/>
    <cellStyle name="Normal 226 2 2 2 2" xfId="19011" xr:uid="{00000000-0005-0000-0000-0000434A0000}"/>
    <cellStyle name="Normal 226 2 2 3" xfId="19012" xr:uid="{00000000-0005-0000-0000-0000444A0000}"/>
    <cellStyle name="Normal 226 2 2 3 2" xfId="19013" xr:uid="{00000000-0005-0000-0000-0000454A0000}"/>
    <cellStyle name="Normal 226 2 2 3 2 2" xfId="19014" xr:uid="{00000000-0005-0000-0000-0000464A0000}"/>
    <cellStyle name="Normal 226 2 2 3 3" xfId="19015" xr:uid="{00000000-0005-0000-0000-0000474A0000}"/>
    <cellStyle name="Normal 226 2 2 4" xfId="19016" xr:uid="{00000000-0005-0000-0000-0000484A0000}"/>
    <cellStyle name="Normal 226 2 2 4 2" xfId="19017" xr:uid="{00000000-0005-0000-0000-0000494A0000}"/>
    <cellStyle name="Normal 226 2 2 4 2 2" xfId="19018" xr:uid="{00000000-0005-0000-0000-00004A4A0000}"/>
    <cellStyle name="Normal 226 2 2 4 3" xfId="19019" xr:uid="{00000000-0005-0000-0000-00004B4A0000}"/>
    <cellStyle name="Normal 226 2 2 5" xfId="19020" xr:uid="{00000000-0005-0000-0000-00004C4A0000}"/>
    <cellStyle name="Normal 226 2 3" xfId="19021" xr:uid="{00000000-0005-0000-0000-00004D4A0000}"/>
    <cellStyle name="Normal 226 2 3 2" xfId="19022" xr:uid="{00000000-0005-0000-0000-00004E4A0000}"/>
    <cellStyle name="Normal 226 2 3 2 2" xfId="19023" xr:uid="{00000000-0005-0000-0000-00004F4A0000}"/>
    <cellStyle name="Normal 226 2 3 2 2 2" xfId="19024" xr:uid="{00000000-0005-0000-0000-0000504A0000}"/>
    <cellStyle name="Normal 226 2 3 2 3" xfId="19025" xr:uid="{00000000-0005-0000-0000-0000514A0000}"/>
    <cellStyle name="Normal 226 2 3 2 3 2" xfId="19026" xr:uid="{00000000-0005-0000-0000-0000524A0000}"/>
    <cellStyle name="Normal 226 2 3 2 3 2 2" xfId="19027" xr:uid="{00000000-0005-0000-0000-0000534A0000}"/>
    <cellStyle name="Normal 226 2 3 2 3 3" xfId="19028" xr:uid="{00000000-0005-0000-0000-0000544A0000}"/>
    <cellStyle name="Normal 226 2 3 2 4" xfId="19029" xr:uid="{00000000-0005-0000-0000-0000554A0000}"/>
    <cellStyle name="Normal 226 2 3 3" xfId="19030" xr:uid="{00000000-0005-0000-0000-0000564A0000}"/>
    <cellStyle name="Normal 226 2 3 3 2" xfId="19031" xr:uid="{00000000-0005-0000-0000-0000574A0000}"/>
    <cellStyle name="Normal 226 2 3 3 2 2" xfId="19032" xr:uid="{00000000-0005-0000-0000-0000584A0000}"/>
    <cellStyle name="Normal 226 2 3 3 3" xfId="19033" xr:uid="{00000000-0005-0000-0000-0000594A0000}"/>
    <cellStyle name="Normal 226 2 3 4" xfId="19034" xr:uid="{00000000-0005-0000-0000-00005A4A0000}"/>
    <cellStyle name="Normal 226 2 3 4 2" xfId="19035" xr:uid="{00000000-0005-0000-0000-00005B4A0000}"/>
    <cellStyle name="Normal 226 2 3 4 2 2" xfId="19036" xr:uid="{00000000-0005-0000-0000-00005C4A0000}"/>
    <cellStyle name="Normal 226 2 3 4 3" xfId="19037" xr:uid="{00000000-0005-0000-0000-00005D4A0000}"/>
    <cellStyle name="Normal 226 2 3 5" xfId="19038" xr:uid="{00000000-0005-0000-0000-00005E4A0000}"/>
    <cellStyle name="Normal 226 2 3 5 2" xfId="19039" xr:uid="{00000000-0005-0000-0000-00005F4A0000}"/>
    <cellStyle name="Normal 226 2 3 5 2 2" xfId="19040" xr:uid="{00000000-0005-0000-0000-0000604A0000}"/>
    <cellStyle name="Normal 226 2 3 5 3" xfId="19041" xr:uid="{00000000-0005-0000-0000-0000614A0000}"/>
    <cellStyle name="Normal 226 2 3 6" xfId="19042" xr:uid="{00000000-0005-0000-0000-0000624A0000}"/>
    <cellStyle name="Normal 226 2 4" xfId="19043" xr:uid="{00000000-0005-0000-0000-0000634A0000}"/>
    <cellStyle name="Normal 226 2 4 2" xfId="19044" xr:uid="{00000000-0005-0000-0000-0000644A0000}"/>
    <cellStyle name="Normal 226 2 4 2 2" xfId="19045" xr:uid="{00000000-0005-0000-0000-0000654A0000}"/>
    <cellStyle name="Normal 226 2 4 3" xfId="19046" xr:uid="{00000000-0005-0000-0000-0000664A0000}"/>
    <cellStyle name="Normal 226 2 5" xfId="19047" xr:uid="{00000000-0005-0000-0000-0000674A0000}"/>
    <cellStyle name="Normal 226 2 5 2" xfId="19048" xr:uid="{00000000-0005-0000-0000-0000684A0000}"/>
    <cellStyle name="Normal 226 2 5 2 2" xfId="19049" xr:uid="{00000000-0005-0000-0000-0000694A0000}"/>
    <cellStyle name="Normal 226 2 5 3" xfId="19050" xr:uid="{00000000-0005-0000-0000-00006A4A0000}"/>
    <cellStyle name="Normal 226 2 6" xfId="19051" xr:uid="{00000000-0005-0000-0000-00006B4A0000}"/>
    <cellStyle name="Normal 226 2 6 2" xfId="19052" xr:uid="{00000000-0005-0000-0000-00006C4A0000}"/>
    <cellStyle name="Normal 226 2 6 2 2" xfId="19053" xr:uid="{00000000-0005-0000-0000-00006D4A0000}"/>
    <cellStyle name="Normal 226 2 6 3" xfId="19054" xr:uid="{00000000-0005-0000-0000-00006E4A0000}"/>
    <cellStyle name="Normal 226 2 7" xfId="19055" xr:uid="{00000000-0005-0000-0000-00006F4A0000}"/>
    <cellStyle name="Normal 226 3" xfId="19056" xr:uid="{00000000-0005-0000-0000-0000704A0000}"/>
    <cellStyle name="Normal 226 3 2" xfId="19057" xr:uid="{00000000-0005-0000-0000-0000714A0000}"/>
    <cellStyle name="Normal 226 3 2 2" xfId="19058" xr:uid="{00000000-0005-0000-0000-0000724A0000}"/>
    <cellStyle name="Normal 226 3 3" xfId="19059" xr:uid="{00000000-0005-0000-0000-0000734A0000}"/>
    <cellStyle name="Normal 226 3 3 2" xfId="19060" xr:uid="{00000000-0005-0000-0000-0000744A0000}"/>
    <cellStyle name="Normal 226 3 3 2 2" xfId="19061" xr:uid="{00000000-0005-0000-0000-0000754A0000}"/>
    <cellStyle name="Normal 226 3 3 3" xfId="19062" xr:uid="{00000000-0005-0000-0000-0000764A0000}"/>
    <cellStyle name="Normal 226 3 4" xfId="19063" xr:uid="{00000000-0005-0000-0000-0000774A0000}"/>
    <cellStyle name="Normal 226 3 4 2" xfId="19064" xr:uid="{00000000-0005-0000-0000-0000784A0000}"/>
    <cellStyle name="Normal 226 3 4 2 2" xfId="19065" xr:uid="{00000000-0005-0000-0000-0000794A0000}"/>
    <cellStyle name="Normal 226 3 4 3" xfId="19066" xr:uid="{00000000-0005-0000-0000-00007A4A0000}"/>
    <cellStyle name="Normal 226 3 5" xfId="19067" xr:uid="{00000000-0005-0000-0000-00007B4A0000}"/>
    <cellStyle name="Normal 226 4" xfId="19068" xr:uid="{00000000-0005-0000-0000-00007C4A0000}"/>
    <cellStyle name="Normal 226 4 2" xfId="19069" xr:uid="{00000000-0005-0000-0000-00007D4A0000}"/>
    <cellStyle name="Normal 226 4 2 2" xfId="19070" xr:uid="{00000000-0005-0000-0000-00007E4A0000}"/>
    <cellStyle name="Normal 226 4 2 2 2" xfId="19071" xr:uid="{00000000-0005-0000-0000-00007F4A0000}"/>
    <cellStyle name="Normal 226 4 2 3" xfId="19072" xr:uid="{00000000-0005-0000-0000-0000804A0000}"/>
    <cellStyle name="Normal 226 4 2 3 2" xfId="19073" xr:uid="{00000000-0005-0000-0000-0000814A0000}"/>
    <cellStyle name="Normal 226 4 2 3 2 2" xfId="19074" xr:uid="{00000000-0005-0000-0000-0000824A0000}"/>
    <cellStyle name="Normal 226 4 2 3 3" xfId="19075" xr:uid="{00000000-0005-0000-0000-0000834A0000}"/>
    <cellStyle name="Normal 226 4 2 4" xfId="19076" xr:uid="{00000000-0005-0000-0000-0000844A0000}"/>
    <cellStyle name="Normal 226 4 3" xfId="19077" xr:uid="{00000000-0005-0000-0000-0000854A0000}"/>
    <cellStyle name="Normal 226 4 3 2" xfId="19078" xr:uid="{00000000-0005-0000-0000-0000864A0000}"/>
    <cellStyle name="Normal 226 4 3 2 2" xfId="19079" xr:uid="{00000000-0005-0000-0000-0000874A0000}"/>
    <cellStyle name="Normal 226 4 3 3" xfId="19080" xr:uid="{00000000-0005-0000-0000-0000884A0000}"/>
    <cellStyle name="Normal 226 4 4" xfId="19081" xr:uid="{00000000-0005-0000-0000-0000894A0000}"/>
    <cellStyle name="Normal 226 4 4 2" xfId="19082" xr:uid="{00000000-0005-0000-0000-00008A4A0000}"/>
    <cellStyle name="Normal 226 4 4 2 2" xfId="19083" xr:uid="{00000000-0005-0000-0000-00008B4A0000}"/>
    <cellStyle name="Normal 226 4 4 3" xfId="19084" xr:uid="{00000000-0005-0000-0000-00008C4A0000}"/>
    <cellStyle name="Normal 226 4 5" xfId="19085" xr:uid="{00000000-0005-0000-0000-00008D4A0000}"/>
    <cellStyle name="Normal 226 4 5 2" xfId="19086" xr:uid="{00000000-0005-0000-0000-00008E4A0000}"/>
    <cellStyle name="Normal 226 4 5 2 2" xfId="19087" xr:uid="{00000000-0005-0000-0000-00008F4A0000}"/>
    <cellStyle name="Normal 226 4 5 3" xfId="19088" xr:uid="{00000000-0005-0000-0000-0000904A0000}"/>
    <cellStyle name="Normal 226 4 6" xfId="19089" xr:uid="{00000000-0005-0000-0000-0000914A0000}"/>
    <cellStyle name="Normal 226 5" xfId="19090" xr:uid="{00000000-0005-0000-0000-0000924A0000}"/>
    <cellStyle name="Normal 226 5 2" xfId="19091" xr:uid="{00000000-0005-0000-0000-0000934A0000}"/>
    <cellStyle name="Normal 226 5 2 2" xfId="19092" xr:uid="{00000000-0005-0000-0000-0000944A0000}"/>
    <cellStyle name="Normal 226 5 3" xfId="19093" xr:uid="{00000000-0005-0000-0000-0000954A0000}"/>
    <cellStyle name="Normal 226 6" xfId="19094" xr:uid="{00000000-0005-0000-0000-0000964A0000}"/>
    <cellStyle name="Normal 226 6 2" xfId="19095" xr:uid="{00000000-0005-0000-0000-0000974A0000}"/>
    <cellStyle name="Normal 226 6 2 2" xfId="19096" xr:uid="{00000000-0005-0000-0000-0000984A0000}"/>
    <cellStyle name="Normal 226 6 3" xfId="19097" xr:uid="{00000000-0005-0000-0000-0000994A0000}"/>
    <cellStyle name="Normal 226 7" xfId="19098" xr:uid="{00000000-0005-0000-0000-00009A4A0000}"/>
    <cellStyle name="Normal 226 7 2" xfId="19099" xr:uid="{00000000-0005-0000-0000-00009B4A0000}"/>
    <cellStyle name="Normal 226 7 2 2" xfId="19100" xr:uid="{00000000-0005-0000-0000-00009C4A0000}"/>
    <cellStyle name="Normal 226 7 3" xfId="19101" xr:uid="{00000000-0005-0000-0000-00009D4A0000}"/>
    <cellStyle name="Normal 226 8" xfId="19102" xr:uid="{00000000-0005-0000-0000-00009E4A0000}"/>
    <cellStyle name="Normal 227" xfId="19103" xr:uid="{00000000-0005-0000-0000-00009F4A0000}"/>
    <cellStyle name="Normal 227 2" xfId="19104" xr:uid="{00000000-0005-0000-0000-0000A04A0000}"/>
    <cellStyle name="Normal 227 2 2" xfId="19105" xr:uid="{00000000-0005-0000-0000-0000A14A0000}"/>
    <cellStyle name="Normal 227 2 2 2" xfId="19106" xr:uid="{00000000-0005-0000-0000-0000A24A0000}"/>
    <cellStyle name="Normal 227 2 2 2 2" xfId="19107" xr:uid="{00000000-0005-0000-0000-0000A34A0000}"/>
    <cellStyle name="Normal 227 2 2 3" xfId="19108" xr:uid="{00000000-0005-0000-0000-0000A44A0000}"/>
    <cellStyle name="Normal 227 2 2 3 2" xfId="19109" xr:uid="{00000000-0005-0000-0000-0000A54A0000}"/>
    <cellStyle name="Normal 227 2 2 3 2 2" xfId="19110" xr:uid="{00000000-0005-0000-0000-0000A64A0000}"/>
    <cellStyle name="Normal 227 2 2 3 3" xfId="19111" xr:uid="{00000000-0005-0000-0000-0000A74A0000}"/>
    <cellStyle name="Normal 227 2 2 4" xfId="19112" xr:uid="{00000000-0005-0000-0000-0000A84A0000}"/>
    <cellStyle name="Normal 227 2 2 4 2" xfId="19113" xr:uid="{00000000-0005-0000-0000-0000A94A0000}"/>
    <cellStyle name="Normal 227 2 2 4 2 2" xfId="19114" xr:uid="{00000000-0005-0000-0000-0000AA4A0000}"/>
    <cellStyle name="Normal 227 2 2 4 3" xfId="19115" xr:uid="{00000000-0005-0000-0000-0000AB4A0000}"/>
    <cellStyle name="Normal 227 2 2 5" xfId="19116" xr:uid="{00000000-0005-0000-0000-0000AC4A0000}"/>
    <cellStyle name="Normal 227 2 3" xfId="19117" xr:uid="{00000000-0005-0000-0000-0000AD4A0000}"/>
    <cellStyle name="Normal 227 2 3 2" xfId="19118" xr:uid="{00000000-0005-0000-0000-0000AE4A0000}"/>
    <cellStyle name="Normal 227 2 3 2 2" xfId="19119" xr:uid="{00000000-0005-0000-0000-0000AF4A0000}"/>
    <cellStyle name="Normal 227 2 3 2 2 2" xfId="19120" xr:uid="{00000000-0005-0000-0000-0000B04A0000}"/>
    <cellStyle name="Normal 227 2 3 2 3" xfId="19121" xr:uid="{00000000-0005-0000-0000-0000B14A0000}"/>
    <cellStyle name="Normal 227 2 3 2 3 2" xfId="19122" xr:uid="{00000000-0005-0000-0000-0000B24A0000}"/>
    <cellStyle name="Normal 227 2 3 2 3 2 2" xfId="19123" xr:uid="{00000000-0005-0000-0000-0000B34A0000}"/>
    <cellStyle name="Normal 227 2 3 2 3 3" xfId="19124" xr:uid="{00000000-0005-0000-0000-0000B44A0000}"/>
    <cellStyle name="Normal 227 2 3 2 4" xfId="19125" xr:uid="{00000000-0005-0000-0000-0000B54A0000}"/>
    <cellStyle name="Normal 227 2 3 3" xfId="19126" xr:uid="{00000000-0005-0000-0000-0000B64A0000}"/>
    <cellStyle name="Normal 227 2 3 3 2" xfId="19127" xr:uid="{00000000-0005-0000-0000-0000B74A0000}"/>
    <cellStyle name="Normal 227 2 3 3 2 2" xfId="19128" xr:uid="{00000000-0005-0000-0000-0000B84A0000}"/>
    <cellStyle name="Normal 227 2 3 3 3" xfId="19129" xr:uid="{00000000-0005-0000-0000-0000B94A0000}"/>
    <cellStyle name="Normal 227 2 3 4" xfId="19130" xr:uid="{00000000-0005-0000-0000-0000BA4A0000}"/>
    <cellStyle name="Normal 227 2 3 4 2" xfId="19131" xr:uid="{00000000-0005-0000-0000-0000BB4A0000}"/>
    <cellStyle name="Normal 227 2 3 4 2 2" xfId="19132" xr:uid="{00000000-0005-0000-0000-0000BC4A0000}"/>
    <cellStyle name="Normal 227 2 3 4 3" xfId="19133" xr:uid="{00000000-0005-0000-0000-0000BD4A0000}"/>
    <cellStyle name="Normal 227 2 3 5" xfId="19134" xr:uid="{00000000-0005-0000-0000-0000BE4A0000}"/>
    <cellStyle name="Normal 227 2 3 5 2" xfId="19135" xr:uid="{00000000-0005-0000-0000-0000BF4A0000}"/>
    <cellStyle name="Normal 227 2 3 5 2 2" xfId="19136" xr:uid="{00000000-0005-0000-0000-0000C04A0000}"/>
    <cellStyle name="Normal 227 2 3 5 3" xfId="19137" xr:uid="{00000000-0005-0000-0000-0000C14A0000}"/>
    <cellStyle name="Normal 227 2 3 6" xfId="19138" xr:uid="{00000000-0005-0000-0000-0000C24A0000}"/>
    <cellStyle name="Normal 227 2 4" xfId="19139" xr:uid="{00000000-0005-0000-0000-0000C34A0000}"/>
    <cellStyle name="Normal 227 2 4 2" xfId="19140" xr:uid="{00000000-0005-0000-0000-0000C44A0000}"/>
    <cellStyle name="Normal 227 2 4 2 2" xfId="19141" xr:uid="{00000000-0005-0000-0000-0000C54A0000}"/>
    <cellStyle name="Normal 227 2 4 3" xfId="19142" xr:uid="{00000000-0005-0000-0000-0000C64A0000}"/>
    <cellStyle name="Normal 227 2 5" xfId="19143" xr:uid="{00000000-0005-0000-0000-0000C74A0000}"/>
    <cellStyle name="Normal 227 2 5 2" xfId="19144" xr:uid="{00000000-0005-0000-0000-0000C84A0000}"/>
    <cellStyle name="Normal 227 2 5 2 2" xfId="19145" xr:uid="{00000000-0005-0000-0000-0000C94A0000}"/>
    <cellStyle name="Normal 227 2 5 3" xfId="19146" xr:uid="{00000000-0005-0000-0000-0000CA4A0000}"/>
    <cellStyle name="Normal 227 2 6" xfId="19147" xr:uid="{00000000-0005-0000-0000-0000CB4A0000}"/>
    <cellStyle name="Normal 227 2 6 2" xfId="19148" xr:uid="{00000000-0005-0000-0000-0000CC4A0000}"/>
    <cellStyle name="Normal 227 2 6 2 2" xfId="19149" xr:uid="{00000000-0005-0000-0000-0000CD4A0000}"/>
    <cellStyle name="Normal 227 2 6 3" xfId="19150" xr:uid="{00000000-0005-0000-0000-0000CE4A0000}"/>
    <cellStyle name="Normal 227 2 7" xfId="19151" xr:uid="{00000000-0005-0000-0000-0000CF4A0000}"/>
    <cellStyle name="Normal 227 3" xfId="19152" xr:uid="{00000000-0005-0000-0000-0000D04A0000}"/>
    <cellStyle name="Normal 227 3 2" xfId="19153" xr:uid="{00000000-0005-0000-0000-0000D14A0000}"/>
    <cellStyle name="Normal 227 3 2 2" xfId="19154" xr:uid="{00000000-0005-0000-0000-0000D24A0000}"/>
    <cellStyle name="Normal 227 3 3" xfId="19155" xr:uid="{00000000-0005-0000-0000-0000D34A0000}"/>
    <cellStyle name="Normal 227 3 3 2" xfId="19156" xr:uid="{00000000-0005-0000-0000-0000D44A0000}"/>
    <cellStyle name="Normal 227 3 3 2 2" xfId="19157" xr:uid="{00000000-0005-0000-0000-0000D54A0000}"/>
    <cellStyle name="Normal 227 3 3 3" xfId="19158" xr:uid="{00000000-0005-0000-0000-0000D64A0000}"/>
    <cellStyle name="Normal 227 3 4" xfId="19159" xr:uid="{00000000-0005-0000-0000-0000D74A0000}"/>
    <cellStyle name="Normal 227 3 4 2" xfId="19160" xr:uid="{00000000-0005-0000-0000-0000D84A0000}"/>
    <cellStyle name="Normal 227 3 4 2 2" xfId="19161" xr:uid="{00000000-0005-0000-0000-0000D94A0000}"/>
    <cellStyle name="Normal 227 3 4 3" xfId="19162" xr:uid="{00000000-0005-0000-0000-0000DA4A0000}"/>
    <cellStyle name="Normal 227 3 5" xfId="19163" xr:uid="{00000000-0005-0000-0000-0000DB4A0000}"/>
    <cellStyle name="Normal 227 4" xfId="19164" xr:uid="{00000000-0005-0000-0000-0000DC4A0000}"/>
    <cellStyle name="Normal 227 4 2" xfId="19165" xr:uid="{00000000-0005-0000-0000-0000DD4A0000}"/>
    <cellStyle name="Normal 227 4 2 2" xfId="19166" xr:uid="{00000000-0005-0000-0000-0000DE4A0000}"/>
    <cellStyle name="Normal 227 4 2 2 2" xfId="19167" xr:uid="{00000000-0005-0000-0000-0000DF4A0000}"/>
    <cellStyle name="Normal 227 4 2 3" xfId="19168" xr:uid="{00000000-0005-0000-0000-0000E04A0000}"/>
    <cellStyle name="Normal 227 4 2 3 2" xfId="19169" xr:uid="{00000000-0005-0000-0000-0000E14A0000}"/>
    <cellStyle name="Normal 227 4 2 3 2 2" xfId="19170" xr:uid="{00000000-0005-0000-0000-0000E24A0000}"/>
    <cellStyle name="Normal 227 4 2 3 3" xfId="19171" xr:uid="{00000000-0005-0000-0000-0000E34A0000}"/>
    <cellStyle name="Normal 227 4 2 4" xfId="19172" xr:uid="{00000000-0005-0000-0000-0000E44A0000}"/>
    <cellStyle name="Normal 227 4 3" xfId="19173" xr:uid="{00000000-0005-0000-0000-0000E54A0000}"/>
    <cellStyle name="Normal 227 4 3 2" xfId="19174" xr:uid="{00000000-0005-0000-0000-0000E64A0000}"/>
    <cellStyle name="Normal 227 4 3 2 2" xfId="19175" xr:uid="{00000000-0005-0000-0000-0000E74A0000}"/>
    <cellStyle name="Normal 227 4 3 3" xfId="19176" xr:uid="{00000000-0005-0000-0000-0000E84A0000}"/>
    <cellStyle name="Normal 227 4 4" xfId="19177" xr:uid="{00000000-0005-0000-0000-0000E94A0000}"/>
    <cellStyle name="Normal 227 4 4 2" xfId="19178" xr:uid="{00000000-0005-0000-0000-0000EA4A0000}"/>
    <cellStyle name="Normal 227 4 4 2 2" xfId="19179" xr:uid="{00000000-0005-0000-0000-0000EB4A0000}"/>
    <cellStyle name="Normal 227 4 4 3" xfId="19180" xr:uid="{00000000-0005-0000-0000-0000EC4A0000}"/>
    <cellStyle name="Normal 227 4 5" xfId="19181" xr:uid="{00000000-0005-0000-0000-0000ED4A0000}"/>
    <cellStyle name="Normal 227 4 5 2" xfId="19182" xr:uid="{00000000-0005-0000-0000-0000EE4A0000}"/>
    <cellStyle name="Normal 227 4 5 2 2" xfId="19183" xr:uid="{00000000-0005-0000-0000-0000EF4A0000}"/>
    <cellStyle name="Normal 227 4 5 3" xfId="19184" xr:uid="{00000000-0005-0000-0000-0000F04A0000}"/>
    <cellStyle name="Normal 227 4 6" xfId="19185" xr:uid="{00000000-0005-0000-0000-0000F14A0000}"/>
    <cellStyle name="Normal 227 5" xfId="19186" xr:uid="{00000000-0005-0000-0000-0000F24A0000}"/>
    <cellStyle name="Normal 227 5 2" xfId="19187" xr:uid="{00000000-0005-0000-0000-0000F34A0000}"/>
    <cellStyle name="Normal 227 5 2 2" xfId="19188" xr:uid="{00000000-0005-0000-0000-0000F44A0000}"/>
    <cellStyle name="Normal 227 5 3" xfId="19189" xr:uid="{00000000-0005-0000-0000-0000F54A0000}"/>
    <cellStyle name="Normal 227 6" xfId="19190" xr:uid="{00000000-0005-0000-0000-0000F64A0000}"/>
    <cellStyle name="Normal 227 6 2" xfId="19191" xr:uid="{00000000-0005-0000-0000-0000F74A0000}"/>
    <cellStyle name="Normal 227 6 2 2" xfId="19192" xr:uid="{00000000-0005-0000-0000-0000F84A0000}"/>
    <cellStyle name="Normal 227 6 3" xfId="19193" xr:uid="{00000000-0005-0000-0000-0000F94A0000}"/>
    <cellStyle name="Normal 227 7" xfId="19194" xr:uid="{00000000-0005-0000-0000-0000FA4A0000}"/>
    <cellStyle name="Normal 227 7 2" xfId="19195" xr:uid="{00000000-0005-0000-0000-0000FB4A0000}"/>
    <cellStyle name="Normal 227 7 2 2" xfId="19196" xr:uid="{00000000-0005-0000-0000-0000FC4A0000}"/>
    <cellStyle name="Normal 227 7 3" xfId="19197" xr:uid="{00000000-0005-0000-0000-0000FD4A0000}"/>
    <cellStyle name="Normal 227 8" xfId="19198" xr:uid="{00000000-0005-0000-0000-0000FE4A0000}"/>
    <cellStyle name="Normal 228" xfId="19199" xr:uid="{00000000-0005-0000-0000-0000FF4A0000}"/>
    <cellStyle name="Normal 228 2" xfId="19200" xr:uid="{00000000-0005-0000-0000-0000004B0000}"/>
    <cellStyle name="Normal 228 2 2" xfId="19201" xr:uid="{00000000-0005-0000-0000-0000014B0000}"/>
    <cellStyle name="Normal 228 2 2 2" xfId="19202" xr:uid="{00000000-0005-0000-0000-0000024B0000}"/>
    <cellStyle name="Normal 228 2 2 2 2" xfId="19203" xr:uid="{00000000-0005-0000-0000-0000034B0000}"/>
    <cellStyle name="Normal 228 2 2 3" xfId="19204" xr:uid="{00000000-0005-0000-0000-0000044B0000}"/>
    <cellStyle name="Normal 228 2 2 3 2" xfId="19205" xr:uid="{00000000-0005-0000-0000-0000054B0000}"/>
    <cellStyle name="Normal 228 2 2 3 2 2" xfId="19206" xr:uid="{00000000-0005-0000-0000-0000064B0000}"/>
    <cellStyle name="Normal 228 2 2 3 3" xfId="19207" xr:uid="{00000000-0005-0000-0000-0000074B0000}"/>
    <cellStyle name="Normal 228 2 2 4" xfId="19208" xr:uid="{00000000-0005-0000-0000-0000084B0000}"/>
    <cellStyle name="Normal 228 2 2 4 2" xfId="19209" xr:uid="{00000000-0005-0000-0000-0000094B0000}"/>
    <cellStyle name="Normal 228 2 2 4 2 2" xfId="19210" xr:uid="{00000000-0005-0000-0000-00000A4B0000}"/>
    <cellStyle name="Normal 228 2 2 4 3" xfId="19211" xr:uid="{00000000-0005-0000-0000-00000B4B0000}"/>
    <cellStyle name="Normal 228 2 2 5" xfId="19212" xr:uid="{00000000-0005-0000-0000-00000C4B0000}"/>
    <cellStyle name="Normal 228 2 3" xfId="19213" xr:uid="{00000000-0005-0000-0000-00000D4B0000}"/>
    <cellStyle name="Normal 228 2 3 2" xfId="19214" xr:uid="{00000000-0005-0000-0000-00000E4B0000}"/>
    <cellStyle name="Normal 228 2 3 2 2" xfId="19215" xr:uid="{00000000-0005-0000-0000-00000F4B0000}"/>
    <cellStyle name="Normal 228 2 3 2 2 2" xfId="19216" xr:uid="{00000000-0005-0000-0000-0000104B0000}"/>
    <cellStyle name="Normal 228 2 3 2 3" xfId="19217" xr:uid="{00000000-0005-0000-0000-0000114B0000}"/>
    <cellStyle name="Normal 228 2 3 2 3 2" xfId="19218" xr:uid="{00000000-0005-0000-0000-0000124B0000}"/>
    <cellStyle name="Normal 228 2 3 2 3 2 2" xfId="19219" xr:uid="{00000000-0005-0000-0000-0000134B0000}"/>
    <cellStyle name="Normal 228 2 3 2 3 3" xfId="19220" xr:uid="{00000000-0005-0000-0000-0000144B0000}"/>
    <cellStyle name="Normal 228 2 3 2 4" xfId="19221" xr:uid="{00000000-0005-0000-0000-0000154B0000}"/>
    <cellStyle name="Normal 228 2 3 3" xfId="19222" xr:uid="{00000000-0005-0000-0000-0000164B0000}"/>
    <cellStyle name="Normal 228 2 3 3 2" xfId="19223" xr:uid="{00000000-0005-0000-0000-0000174B0000}"/>
    <cellStyle name="Normal 228 2 3 3 2 2" xfId="19224" xr:uid="{00000000-0005-0000-0000-0000184B0000}"/>
    <cellStyle name="Normal 228 2 3 3 3" xfId="19225" xr:uid="{00000000-0005-0000-0000-0000194B0000}"/>
    <cellStyle name="Normal 228 2 3 4" xfId="19226" xr:uid="{00000000-0005-0000-0000-00001A4B0000}"/>
    <cellStyle name="Normal 228 2 3 4 2" xfId="19227" xr:uid="{00000000-0005-0000-0000-00001B4B0000}"/>
    <cellStyle name="Normal 228 2 3 4 2 2" xfId="19228" xr:uid="{00000000-0005-0000-0000-00001C4B0000}"/>
    <cellStyle name="Normal 228 2 3 4 3" xfId="19229" xr:uid="{00000000-0005-0000-0000-00001D4B0000}"/>
    <cellStyle name="Normal 228 2 3 5" xfId="19230" xr:uid="{00000000-0005-0000-0000-00001E4B0000}"/>
    <cellStyle name="Normal 228 2 3 5 2" xfId="19231" xr:uid="{00000000-0005-0000-0000-00001F4B0000}"/>
    <cellStyle name="Normal 228 2 3 5 2 2" xfId="19232" xr:uid="{00000000-0005-0000-0000-0000204B0000}"/>
    <cellStyle name="Normal 228 2 3 5 3" xfId="19233" xr:uid="{00000000-0005-0000-0000-0000214B0000}"/>
    <cellStyle name="Normal 228 2 3 6" xfId="19234" xr:uid="{00000000-0005-0000-0000-0000224B0000}"/>
    <cellStyle name="Normal 228 2 4" xfId="19235" xr:uid="{00000000-0005-0000-0000-0000234B0000}"/>
    <cellStyle name="Normal 228 2 4 2" xfId="19236" xr:uid="{00000000-0005-0000-0000-0000244B0000}"/>
    <cellStyle name="Normal 228 2 4 2 2" xfId="19237" xr:uid="{00000000-0005-0000-0000-0000254B0000}"/>
    <cellStyle name="Normal 228 2 4 3" xfId="19238" xr:uid="{00000000-0005-0000-0000-0000264B0000}"/>
    <cellStyle name="Normal 228 2 5" xfId="19239" xr:uid="{00000000-0005-0000-0000-0000274B0000}"/>
    <cellStyle name="Normal 228 2 5 2" xfId="19240" xr:uid="{00000000-0005-0000-0000-0000284B0000}"/>
    <cellStyle name="Normal 228 2 5 2 2" xfId="19241" xr:uid="{00000000-0005-0000-0000-0000294B0000}"/>
    <cellStyle name="Normal 228 2 5 3" xfId="19242" xr:uid="{00000000-0005-0000-0000-00002A4B0000}"/>
    <cellStyle name="Normal 228 2 6" xfId="19243" xr:uid="{00000000-0005-0000-0000-00002B4B0000}"/>
    <cellStyle name="Normal 228 2 6 2" xfId="19244" xr:uid="{00000000-0005-0000-0000-00002C4B0000}"/>
    <cellStyle name="Normal 228 2 6 2 2" xfId="19245" xr:uid="{00000000-0005-0000-0000-00002D4B0000}"/>
    <cellStyle name="Normal 228 2 6 3" xfId="19246" xr:uid="{00000000-0005-0000-0000-00002E4B0000}"/>
    <cellStyle name="Normal 228 2 7" xfId="19247" xr:uid="{00000000-0005-0000-0000-00002F4B0000}"/>
    <cellStyle name="Normal 228 3" xfId="19248" xr:uid="{00000000-0005-0000-0000-0000304B0000}"/>
    <cellStyle name="Normal 228 3 2" xfId="19249" xr:uid="{00000000-0005-0000-0000-0000314B0000}"/>
    <cellStyle name="Normal 228 3 2 2" xfId="19250" xr:uid="{00000000-0005-0000-0000-0000324B0000}"/>
    <cellStyle name="Normal 228 3 3" xfId="19251" xr:uid="{00000000-0005-0000-0000-0000334B0000}"/>
    <cellStyle name="Normal 228 3 3 2" xfId="19252" xr:uid="{00000000-0005-0000-0000-0000344B0000}"/>
    <cellStyle name="Normal 228 3 3 2 2" xfId="19253" xr:uid="{00000000-0005-0000-0000-0000354B0000}"/>
    <cellStyle name="Normal 228 3 3 3" xfId="19254" xr:uid="{00000000-0005-0000-0000-0000364B0000}"/>
    <cellStyle name="Normal 228 3 4" xfId="19255" xr:uid="{00000000-0005-0000-0000-0000374B0000}"/>
    <cellStyle name="Normal 228 3 4 2" xfId="19256" xr:uid="{00000000-0005-0000-0000-0000384B0000}"/>
    <cellStyle name="Normal 228 3 4 2 2" xfId="19257" xr:uid="{00000000-0005-0000-0000-0000394B0000}"/>
    <cellStyle name="Normal 228 3 4 3" xfId="19258" xr:uid="{00000000-0005-0000-0000-00003A4B0000}"/>
    <cellStyle name="Normal 228 3 5" xfId="19259" xr:uid="{00000000-0005-0000-0000-00003B4B0000}"/>
    <cellStyle name="Normal 228 4" xfId="19260" xr:uid="{00000000-0005-0000-0000-00003C4B0000}"/>
    <cellStyle name="Normal 228 4 2" xfId="19261" xr:uid="{00000000-0005-0000-0000-00003D4B0000}"/>
    <cellStyle name="Normal 228 4 2 2" xfId="19262" xr:uid="{00000000-0005-0000-0000-00003E4B0000}"/>
    <cellStyle name="Normal 228 4 2 2 2" xfId="19263" xr:uid="{00000000-0005-0000-0000-00003F4B0000}"/>
    <cellStyle name="Normal 228 4 2 3" xfId="19264" xr:uid="{00000000-0005-0000-0000-0000404B0000}"/>
    <cellStyle name="Normal 228 4 2 3 2" xfId="19265" xr:uid="{00000000-0005-0000-0000-0000414B0000}"/>
    <cellStyle name="Normal 228 4 2 3 2 2" xfId="19266" xr:uid="{00000000-0005-0000-0000-0000424B0000}"/>
    <cellStyle name="Normal 228 4 2 3 3" xfId="19267" xr:uid="{00000000-0005-0000-0000-0000434B0000}"/>
    <cellStyle name="Normal 228 4 2 4" xfId="19268" xr:uid="{00000000-0005-0000-0000-0000444B0000}"/>
    <cellStyle name="Normal 228 4 3" xfId="19269" xr:uid="{00000000-0005-0000-0000-0000454B0000}"/>
    <cellStyle name="Normal 228 4 3 2" xfId="19270" xr:uid="{00000000-0005-0000-0000-0000464B0000}"/>
    <cellStyle name="Normal 228 4 3 2 2" xfId="19271" xr:uid="{00000000-0005-0000-0000-0000474B0000}"/>
    <cellStyle name="Normal 228 4 3 3" xfId="19272" xr:uid="{00000000-0005-0000-0000-0000484B0000}"/>
    <cellStyle name="Normal 228 4 4" xfId="19273" xr:uid="{00000000-0005-0000-0000-0000494B0000}"/>
    <cellStyle name="Normal 228 4 4 2" xfId="19274" xr:uid="{00000000-0005-0000-0000-00004A4B0000}"/>
    <cellStyle name="Normal 228 4 4 2 2" xfId="19275" xr:uid="{00000000-0005-0000-0000-00004B4B0000}"/>
    <cellStyle name="Normal 228 4 4 3" xfId="19276" xr:uid="{00000000-0005-0000-0000-00004C4B0000}"/>
    <cellStyle name="Normal 228 4 5" xfId="19277" xr:uid="{00000000-0005-0000-0000-00004D4B0000}"/>
    <cellStyle name="Normal 228 4 5 2" xfId="19278" xr:uid="{00000000-0005-0000-0000-00004E4B0000}"/>
    <cellStyle name="Normal 228 4 5 2 2" xfId="19279" xr:uid="{00000000-0005-0000-0000-00004F4B0000}"/>
    <cellStyle name="Normal 228 4 5 3" xfId="19280" xr:uid="{00000000-0005-0000-0000-0000504B0000}"/>
    <cellStyle name="Normal 228 4 6" xfId="19281" xr:uid="{00000000-0005-0000-0000-0000514B0000}"/>
    <cellStyle name="Normal 228 5" xfId="19282" xr:uid="{00000000-0005-0000-0000-0000524B0000}"/>
    <cellStyle name="Normal 228 5 2" xfId="19283" xr:uid="{00000000-0005-0000-0000-0000534B0000}"/>
    <cellStyle name="Normal 228 5 2 2" xfId="19284" xr:uid="{00000000-0005-0000-0000-0000544B0000}"/>
    <cellStyle name="Normal 228 5 3" xfId="19285" xr:uid="{00000000-0005-0000-0000-0000554B0000}"/>
    <cellStyle name="Normal 228 6" xfId="19286" xr:uid="{00000000-0005-0000-0000-0000564B0000}"/>
    <cellStyle name="Normal 228 6 2" xfId="19287" xr:uid="{00000000-0005-0000-0000-0000574B0000}"/>
    <cellStyle name="Normal 228 6 2 2" xfId="19288" xr:uid="{00000000-0005-0000-0000-0000584B0000}"/>
    <cellStyle name="Normal 228 6 3" xfId="19289" xr:uid="{00000000-0005-0000-0000-0000594B0000}"/>
    <cellStyle name="Normal 228 7" xfId="19290" xr:uid="{00000000-0005-0000-0000-00005A4B0000}"/>
    <cellStyle name="Normal 228 7 2" xfId="19291" xr:uid="{00000000-0005-0000-0000-00005B4B0000}"/>
    <cellStyle name="Normal 228 7 2 2" xfId="19292" xr:uid="{00000000-0005-0000-0000-00005C4B0000}"/>
    <cellStyle name="Normal 228 7 3" xfId="19293" xr:uid="{00000000-0005-0000-0000-00005D4B0000}"/>
    <cellStyle name="Normal 228 8" xfId="19294" xr:uid="{00000000-0005-0000-0000-00005E4B0000}"/>
    <cellStyle name="Normal 229" xfId="19295" xr:uid="{00000000-0005-0000-0000-00005F4B0000}"/>
    <cellStyle name="Normal 229 2" xfId="19296" xr:uid="{00000000-0005-0000-0000-0000604B0000}"/>
    <cellStyle name="Normal 229 2 2" xfId="19297" xr:uid="{00000000-0005-0000-0000-0000614B0000}"/>
    <cellStyle name="Normal 229 2 2 2" xfId="19298" xr:uid="{00000000-0005-0000-0000-0000624B0000}"/>
    <cellStyle name="Normal 229 2 2 2 2" xfId="19299" xr:uid="{00000000-0005-0000-0000-0000634B0000}"/>
    <cellStyle name="Normal 229 2 2 3" xfId="19300" xr:uid="{00000000-0005-0000-0000-0000644B0000}"/>
    <cellStyle name="Normal 229 2 2 3 2" xfId="19301" xr:uid="{00000000-0005-0000-0000-0000654B0000}"/>
    <cellStyle name="Normal 229 2 2 3 2 2" xfId="19302" xr:uid="{00000000-0005-0000-0000-0000664B0000}"/>
    <cellStyle name="Normal 229 2 2 3 3" xfId="19303" xr:uid="{00000000-0005-0000-0000-0000674B0000}"/>
    <cellStyle name="Normal 229 2 2 4" xfId="19304" xr:uid="{00000000-0005-0000-0000-0000684B0000}"/>
    <cellStyle name="Normal 229 2 2 4 2" xfId="19305" xr:uid="{00000000-0005-0000-0000-0000694B0000}"/>
    <cellStyle name="Normal 229 2 2 4 2 2" xfId="19306" xr:uid="{00000000-0005-0000-0000-00006A4B0000}"/>
    <cellStyle name="Normal 229 2 2 4 3" xfId="19307" xr:uid="{00000000-0005-0000-0000-00006B4B0000}"/>
    <cellStyle name="Normal 229 2 2 5" xfId="19308" xr:uid="{00000000-0005-0000-0000-00006C4B0000}"/>
    <cellStyle name="Normal 229 2 3" xfId="19309" xr:uid="{00000000-0005-0000-0000-00006D4B0000}"/>
    <cellStyle name="Normal 229 2 3 2" xfId="19310" xr:uid="{00000000-0005-0000-0000-00006E4B0000}"/>
    <cellStyle name="Normal 229 2 3 2 2" xfId="19311" xr:uid="{00000000-0005-0000-0000-00006F4B0000}"/>
    <cellStyle name="Normal 229 2 3 2 2 2" xfId="19312" xr:uid="{00000000-0005-0000-0000-0000704B0000}"/>
    <cellStyle name="Normal 229 2 3 2 3" xfId="19313" xr:uid="{00000000-0005-0000-0000-0000714B0000}"/>
    <cellStyle name="Normal 229 2 3 2 3 2" xfId="19314" xr:uid="{00000000-0005-0000-0000-0000724B0000}"/>
    <cellStyle name="Normal 229 2 3 2 3 2 2" xfId="19315" xr:uid="{00000000-0005-0000-0000-0000734B0000}"/>
    <cellStyle name="Normal 229 2 3 2 3 3" xfId="19316" xr:uid="{00000000-0005-0000-0000-0000744B0000}"/>
    <cellStyle name="Normal 229 2 3 2 4" xfId="19317" xr:uid="{00000000-0005-0000-0000-0000754B0000}"/>
    <cellStyle name="Normal 229 2 3 3" xfId="19318" xr:uid="{00000000-0005-0000-0000-0000764B0000}"/>
    <cellStyle name="Normal 229 2 3 3 2" xfId="19319" xr:uid="{00000000-0005-0000-0000-0000774B0000}"/>
    <cellStyle name="Normal 229 2 3 3 2 2" xfId="19320" xr:uid="{00000000-0005-0000-0000-0000784B0000}"/>
    <cellStyle name="Normal 229 2 3 3 3" xfId="19321" xr:uid="{00000000-0005-0000-0000-0000794B0000}"/>
    <cellStyle name="Normal 229 2 3 4" xfId="19322" xr:uid="{00000000-0005-0000-0000-00007A4B0000}"/>
    <cellStyle name="Normal 229 2 3 4 2" xfId="19323" xr:uid="{00000000-0005-0000-0000-00007B4B0000}"/>
    <cellStyle name="Normal 229 2 3 4 2 2" xfId="19324" xr:uid="{00000000-0005-0000-0000-00007C4B0000}"/>
    <cellStyle name="Normal 229 2 3 4 3" xfId="19325" xr:uid="{00000000-0005-0000-0000-00007D4B0000}"/>
    <cellStyle name="Normal 229 2 3 5" xfId="19326" xr:uid="{00000000-0005-0000-0000-00007E4B0000}"/>
    <cellStyle name="Normal 229 2 3 5 2" xfId="19327" xr:uid="{00000000-0005-0000-0000-00007F4B0000}"/>
    <cellStyle name="Normal 229 2 3 5 2 2" xfId="19328" xr:uid="{00000000-0005-0000-0000-0000804B0000}"/>
    <cellStyle name="Normal 229 2 3 5 3" xfId="19329" xr:uid="{00000000-0005-0000-0000-0000814B0000}"/>
    <cellStyle name="Normal 229 2 3 6" xfId="19330" xr:uid="{00000000-0005-0000-0000-0000824B0000}"/>
    <cellStyle name="Normal 229 2 4" xfId="19331" xr:uid="{00000000-0005-0000-0000-0000834B0000}"/>
    <cellStyle name="Normal 229 2 4 2" xfId="19332" xr:uid="{00000000-0005-0000-0000-0000844B0000}"/>
    <cellStyle name="Normal 229 2 4 2 2" xfId="19333" xr:uid="{00000000-0005-0000-0000-0000854B0000}"/>
    <cellStyle name="Normal 229 2 4 3" xfId="19334" xr:uid="{00000000-0005-0000-0000-0000864B0000}"/>
    <cellStyle name="Normal 229 2 5" xfId="19335" xr:uid="{00000000-0005-0000-0000-0000874B0000}"/>
    <cellStyle name="Normal 229 2 5 2" xfId="19336" xr:uid="{00000000-0005-0000-0000-0000884B0000}"/>
    <cellStyle name="Normal 229 2 5 2 2" xfId="19337" xr:uid="{00000000-0005-0000-0000-0000894B0000}"/>
    <cellStyle name="Normal 229 2 5 3" xfId="19338" xr:uid="{00000000-0005-0000-0000-00008A4B0000}"/>
    <cellStyle name="Normal 229 2 6" xfId="19339" xr:uid="{00000000-0005-0000-0000-00008B4B0000}"/>
    <cellStyle name="Normal 229 2 6 2" xfId="19340" xr:uid="{00000000-0005-0000-0000-00008C4B0000}"/>
    <cellStyle name="Normal 229 2 6 2 2" xfId="19341" xr:uid="{00000000-0005-0000-0000-00008D4B0000}"/>
    <cellStyle name="Normal 229 2 6 3" xfId="19342" xr:uid="{00000000-0005-0000-0000-00008E4B0000}"/>
    <cellStyle name="Normal 229 2 7" xfId="19343" xr:uid="{00000000-0005-0000-0000-00008F4B0000}"/>
    <cellStyle name="Normal 229 3" xfId="19344" xr:uid="{00000000-0005-0000-0000-0000904B0000}"/>
    <cellStyle name="Normal 229 3 2" xfId="19345" xr:uid="{00000000-0005-0000-0000-0000914B0000}"/>
    <cellStyle name="Normal 229 3 2 2" xfId="19346" xr:uid="{00000000-0005-0000-0000-0000924B0000}"/>
    <cellStyle name="Normal 229 3 3" xfId="19347" xr:uid="{00000000-0005-0000-0000-0000934B0000}"/>
    <cellStyle name="Normal 229 3 3 2" xfId="19348" xr:uid="{00000000-0005-0000-0000-0000944B0000}"/>
    <cellStyle name="Normal 229 3 3 2 2" xfId="19349" xr:uid="{00000000-0005-0000-0000-0000954B0000}"/>
    <cellStyle name="Normal 229 3 3 3" xfId="19350" xr:uid="{00000000-0005-0000-0000-0000964B0000}"/>
    <cellStyle name="Normal 229 3 4" xfId="19351" xr:uid="{00000000-0005-0000-0000-0000974B0000}"/>
    <cellStyle name="Normal 229 3 4 2" xfId="19352" xr:uid="{00000000-0005-0000-0000-0000984B0000}"/>
    <cellStyle name="Normal 229 3 4 2 2" xfId="19353" xr:uid="{00000000-0005-0000-0000-0000994B0000}"/>
    <cellStyle name="Normal 229 3 4 3" xfId="19354" xr:uid="{00000000-0005-0000-0000-00009A4B0000}"/>
    <cellStyle name="Normal 229 3 5" xfId="19355" xr:uid="{00000000-0005-0000-0000-00009B4B0000}"/>
    <cellStyle name="Normal 229 4" xfId="19356" xr:uid="{00000000-0005-0000-0000-00009C4B0000}"/>
    <cellStyle name="Normal 229 4 2" xfId="19357" xr:uid="{00000000-0005-0000-0000-00009D4B0000}"/>
    <cellStyle name="Normal 229 4 2 2" xfId="19358" xr:uid="{00000000-0005-0000-0000-00009E4B0000}"/>
    <cellStyle name="Normal 229 4 2 2 2" xfId="19359" xr:uid="{00000000-0005-0000-0000-00009F4B0000}"/>
    <cellStyle name="Normal 229 4 2 3" xfId="19360" xr:uid="{00000000-0005-0000-0000-0000A04B0000}"/>
    <cellStyle name="Normal 229 4 2 3 2" xfId="19361" xr:uid="{00000000-0005-0000-0000-0000A14B0000}"/>
    <cellStyle name="Normal 229 4 2 3 2 2" xfId="19362" xr:uid="{00000000-0005-0000-0000-0000A24B0000}"/>
    <cellStyle name="Normal 229 4 2 3 3" xfId="19363" xr:uid="{00000000-0005-0000-0000-0000A34B0000}"/>
    <cellStyle name="Normal 229 4 2 4" xfId="19364" xr:uid="{00000000-0005-0000-0000-0000A44B0000}"/>
    <cellStyle name="Normal 229 4 3" xfId="19365" xr:uid="{00000000-0005-0000-0000-0000A54B0000}"/>
    <cellStyle name="Normal 229 4 3 2" xfId="19366" xr:uid="{00000000-0005-0000-0000-0000A64B0000}"/>
    <cellStyle name="Normal 229 4 3 2 2" xfId="19367" xr:uid="{00000000-0005-0000-0000-0000A74B0000}"/>
    <cellStyle name="Normal 229 4 3 3" xfId="19368" xr:uid="{00000000-0005-0000-0000-0000A84B0000}"/>
    <cellStyle name="Normal 229 4 4" xfId="19369" xr:uid="{00000000-0005-0000-0000-0000A94B0000}"/>
    <cellStyle name="Normal 229 4 4 2" xfId="19370" xr:uid="{00000000-0005-0000-0000-0000AA4B0000}"/>
    <cellStyle name="Normal 229 4 4 2 2" xfId="19371" xr:uid="{00000000-0005-0000-0000-0000AB4B0000}"/>
    <cellStyle name="Normal 229 4 4 3" xfId="19372" xr:uid="{00000000-0005-0000-0000-0000AC4B0000}"/>
    <cellStyle name="Normal 229 4 5" xfId="19373" xr:uid="{00000000-0005-0000-0000-0000AD4B0000}"/>
    <cellStyle name="Normal 229 4 5 2" xfId="19374" xr:uid="{00000000-0005-0000-0000-0000AE4B0000}"/>
    <cellStyle name="Normal 229 4 5 2 2" xfId="19375" xr:uid="{00000000-0005-0000-0000-0000AF4B0000}"/>
    <cellStyle name="Normal 229 4 5 3" xfId="19376" xr:uid="{00000000-0005-0000-0000-0000B04B0000}"/>
    <cellStyle name="Normal 229 4 6" xfId="19377" xr:uid="{00000000-0005-0000-0000-0000B14B0000}"/>
    <cellStyle name="Normal 229 5" xfId="19378" xr:uid="{00000000-0005-0000-0000-0000B24B0000}"/>
    <cellStyle name="Normal 229 5 2" xfId="19379" xr:uid="{00000000-0005-0000-0000-0000B34B0000}"/>
    <cellStyle name="Normal 229 5 2 2" xfId="19380" xr:uid="{00000000-0005-0000-0000-0000B44B0000}"/>
    <cellStyle name="Normal 229 5 3" xfId="19381" xr:uid="{00000000-0005-0000-0000-0000B54B0000}"/>
    <cellStyle name="Normal 229 6" xfId="19382" xr:uid="{00000000-0005-0000-0000-0000B64B0000}"/>
    <cellStyle name="Normal 229 6 2" xfId="19383" xr:uid="{00000000-0005-0000-0000-0000B74B0000}"/>
    <cellStyle name="Normal 229 6 2 2" xfId="19384" xr:uid="{00000000-0005-0000-0000-0000B84B0000}"/>
    <cellStyle name="Normal 229 6 3" xfId="19385" xr:uid="{00000000-0005-0000-0000-0000B94B0000}"/>
    <cellStyle name="Normal 229 7" xfId="19386" xr:uid="{00000000-0005-0000-0000-0000BA4B0000}"/>
    <cellStyle name="Normal 229 7 2" xfId="19387" xr:uid="{00000000-0005-0000-0000-0000BB4B0000}"/>
    <cellStyle name="Normal 229 7 2 2" xfId="19388" xr:uid="{00000000-0005-0000-0000-0000BC4B0000}"/>
    <cellStyle name="Normal 229 7 3" xfId="19389" xr:uid="{00000000-0005-0000-0000-0000BD4B0000}"/>
    <cellStyle name="Normal 229 8" xfId="19390" xr:uid="{00000000-0005-0000-0000-0000BE4B0000}"/>
    <cellStyle name="Normal 23" xfId="19391" xr:uid="{00000000-0005-0000-0000-0000BF4B0000}"/>
    <cellStyle name="Normal 23 2" xfId="19392" xr:uid="{00000000-0005-0000-0000-0000C04B0000}"/>
    <cellStyle name="Normal 23 2 2" xfId="19393" xr:uid="{00000000-0005-0000-0000-0000C14B0000}"/>
    <cellStyle name="Normal 23 2 2 2" xfId="19394" xr:uid="{00000000-0005-0000-0000-0000C24B0000}"/>
    <cellStyle name="Normal 23 2 2 2 2" xfId="19395" xr:uid="{00000000-0005-0000-0000-0000C34B0000}"/>
    <cellStyle name="Normal 23 2 2 3" xfId="19396" xr:uid="{00000000-0005-0000-0000-0000C44B0000}"/>
    <cellStyle name="Normal 23 2 2 3 2" xfId="19397" xr:uid="{00000000-0005-0000-0000-0000C54B0000}"/>
    <cellStyle name="Normal 23 2 2 3 2 2" xfId="19398" xr:uid="{00000000-0005-0000-0000-0000C64B0000}"/>
    <cellStyle name="Normal 23 2 2 3 3" xfId="19399" xr:uid="{00000000-0005-0000-0000-0000C74B0000}"/>
    <cellStyle name="Normal 23 2 2 4" xfId="19400" xr:uid="{00000000-0005-0000-0000-0000C84B0000}"/>
    <cellStyle name="Normal 23 2 2 4 2" xfId="19401" xr:uid="{00000000-0005-0000-0000-0000C94B0000}"/>
    <cellStyle name="Normal 23 2 2 4 2 2" xfId="19402" xr:uid="{00000000-0005-0000-0000-0000CA4B0000}"/>
    <cellStyle name="Normal 23 2 2 4 3" xfId="19403" xr:uid="{00000000-0005-0000-0000-0000CB4B0000}"/>
    <cellStyle name="Normal 23 2 2 5" xfId="19404" xr:uid="{00000000-0005-0000-0000-0000CC4B0000}"/>
    <cellStyle name="Normal 23 2 3" xfId="19405" xr:uid="{00000000-0005-0000-0000-0000CD4B0000}"/>
    <cellStyle name="Normal 23 2 3 2" xfId="19406" xr:uid="{00000000-0005-0000-0000-0000CE4B0000}"/>
    <cellStyle name="Normal 23 2 3 2 2" xfId="19407" xr:uid="{00000000-0005-0000-0000-0000CF4B0000}"/>
    <cellStyle name="Normal 23 2 3 3" xfId="19408" xr:uid="{00000000-0005-0000-0000-0000D04B0000}"/>
    <cellStyle name="Normal 23 2 4" xfId="19409" xr:uid="{00000000-0005-0000-0000-0000D14B0000}"/>
    <cellStyle name="Normal 23 2 4 2" xfId="19410" xr:uid="{00000000-0005-0000-0000-0000D24B0000}"/>
    <cellStyle name="Normal 23 2 4 2 2" xfId="19411" xr:uid="{00000000-0005-0000-0000-0000D34B0000}"/>
    <cellStyle name="Normal 23 2 4 3" xfId="19412" xr:uid="{00000000-0005-0000-0000-0000D44B0000}"/>
    <cellStyle name="Normal 23 2 5" xfId="19413" xr:uid="{00000000-0005-0000-0000-0000D54B0000}"/>
    <cellStyle name="Normal 23 2 5 2" xfId="19414" xr:uid="{00000000-0005-0000-0000-0000D64B0000}"/>
    <cellStyle name="Normal 23 2 5 2 2" xfId="19415" xr:uid="{00000000-0005-0000-0000-0000D74B0000}"/>
    <cellStyle name="Normal 23 2 5 3" xfId="19416" xr:uid="{00000000-0005-0000-0000-0000D84B0000}"/>
    <cellStyle name="Normal 23 2 6" xfId="19417" xr:uid="{00000000-0005-0000-0000-0000D94B0000}"/>
    <cellStyle name="Normal 23 3" xfId="19418" xr:uid="{00000000-0005-0000-0000-0000DA4B0000}"/>
    <cellStyle name="Normal 23 3 2" xfId="19419" xr:uid="{00000000-0005-0000-0000-0000DB4B0000}"/>
    <cellStyle name="Normal 23 3 2 2" xfId="19420" xr:uid="{00000000-0005-0000-0000-0000DC4B0000}"/>
    <cellStyle name="Normal 23 3 3" xfId="19421" xr:uid="{00000000-0005-0000-0000-0000DD4B0000}"/>
    <cellStyle name="Normal 23 3 3 2" xfId="19422" xr:uid="{00000000-0005-0000-0000-0000DE4B0000}"/>
    <cellStyle name="Normal 23 3 3 2 2" xfId="19423" xr:uid="{00000000-0005-0000-0000-0000DF4B0000}"/>
    <cellStyle name="Normal 23 3 3 3" xfId="19424" xr:uid="{00000000-0005-0000-0000-0000E04B0000}"/>
    <cellStyle name="Normal 23 3 4" xfId="19425" xr:uid="{00000000-0005-0000-0000-0000E14B0000}"/>
    <cellStyle name="Normal 23 3 4 2" xfId="19426" xr:uid="{00000000-0005-0000-0000-0000E24B0000}"/>
    <cellStyle name="Normal 23 3 4 2 2" xfId="19427" xr:uid="{00000000-0005-0000-0000-0000E34B0000}"/>
    <cellStyle name="Normal 23 3 4 3" xfId="19428" xr:uid="{00000000-0005-0000-0000-0000E44B0000}"/>
    <cellStyle name="Normal 23 3 5" xfId="19429" xr:uid="{00000000-0005-0000-0000-0000E54B0000}"/>
    <cellStyle name="Normal 23 4" xfId="19430" xr:uid="{00000000-0005-0000-0000-0000E64B0000}"/>
    <cellStyle name="Normal 23 4 2" xfId="19431" xr:uid="{00000000-0005-0000-0000-0000E74B0000}"/>
    <cellStyle name="Normal 23 4 2 2" xfId="19432" xr:uid="{00000000-0005-0000-0000-0000E84B0000}"/>
    <cellStyle name="Normal 23 4 2 2 2" xfId="19433" xr:uid="{00000000-0005-0000-0000-0000E94B0000}"/>
    <cellStyle name="Normal 23 4 2 3" xfId="19434" xr:uid="{00000000-0005-0000-0000-0000EA4B0000}"/>
    <cellStyle name="Normal 23 4 2 3 2" xfId="19435" xr:uid="{00000000-0005-0000-0000-0000EB4B0000}"/>
    <cellStyle name="Normal 23 4 2 3 2 2" xfId="19436" xr:uid="{00000000-0005-0000-0000-0000EC4B0000}"/>
    <cellStyle name="Normal 23 4 2 3 3" xfId="19437" xr:uid="{00000000-0005-0000-0000-0000ED4B0000}"/>
    <cellStyle name="Normal 23 4 2 4" xfId="19438" xr:uid="{00000000-0005-0000-0000-0000EE4B0000}"/>
    <cellStyle name="Normal 23 4 3" xfId="19439" xr:uid="{00000000-0005-0000-0000-0000EF4B0000}"/>
    <cellStyle name="Normal 23 4 3 2" xfId="19440" xr:uid="{00000000-0005-0000-0000-0000F04B0000}"/>
    <cellStyle name="Normal 23 4 3 2 2" xfId="19441" xr:uid="{00000000-0005-0000-0000-0000F14B0000}"/>
    <cellStyle name="Normal 23 4 3 3" xfId="19442" xr:uid="{00000000-0005-0000-0000-0000F24B0000}"/>
    <cellStyle name="Normal 23 4 4" xfId="19443" xr:uid="{00000000-0005-0000-0000-0000F34B0000}"/>
    <cellStyle name="Normal 23 4 4 2" xfId="19444" xr:uid="{00000000-0005-0000-0000-0000F44B0000}"/>
    <cellStyle name="Normal 23 4 4 2 2" xfId="19445" xr:uid="{00000000-0005-0000-0000-0000F54B0000}"/>
    <cellStyle name="Normal 23 4 4 3" xfId="19446" xr:uid="{00000000-0005-0000-0000-0000F64B0000}"/>
    <cellStyle name="Normal 23 4 5" xfId="19447" xr:uid="{00000000-0005-0000-0000-0000F74B0000}"/>
    <cellStyle name="Normal 23 4 5 2" xfId="19448" xr:uid="{00000000-0005-0000-0000-0000F84B0000}"/>
    <cellStyle name="Normal 23 4 5 2 2" xfId="19449" xr:uid="{00000000-0005-0000-0000-0000F94B0000}"/>
    <cellStyle name="Normal 23 4 5 3" xfId="19450" xr:uid="{00000000-0005-0000-0000-0000FA4B0000}"/>
    <cellStyle name="Normal 23 4 6" xfId="19451" xr:uid="{00000000-0005-0000-0000-0000FB4B0000}"/>
    <cellStyle name="Normal 23 5" xfId="19452" xr:uid="{00000000-0005-0000-0000-0000FC4B0000}"/>
    <cellStyle name="Normal 230" xfId="19453" xr:uid="{00000000-0005-0000-0000-0000FD4B0000}"/>
    <cellStyle name="Normal 230 2" xfId="19454" xr:uid="{00000000-0005-0000-0000-0000FE4B0000}"/>
    <cellStyle name="Normal 230 2 2" xfId="19455" xr:uid="{00000000-0005-0000-0000-0000FF4B0000}"/>
    <cellStyle name="Normal 230 2 2 2" xfId="19456" xr:uid="{00000000-0005-0000-0000-0000004C0000}"/>
    <cellStyle name="Normal 230 2 2 2 2" xfId="19457" xr:uid="{00000000-0005-0000-0000-0000014C0000}"/>
    <cellStyle name="Normal 230 2 2 3" xfId="19458" xr:uid="{00000000-0005-0000-0000-0000024C0000}"/>
    <cellStyle name="Normal 230 2 2 3 2" xfId="19459" xr:uid="{00000000-0005-0000-0000-0000034C0000}"/>
    <cellStyle name="Normal 230 2 2 3 2 2" xfId="19460" xr:uid="{00000000-0005-0000-0000-0000044C0000}"/>
    <cellStyle name="Normal 230 2 2 3 3" xfId="19461" xr:uid="{00000000-0005-0000-0000-0000054C0000}"/>
    <cellStyle name="Normal 230 2 2 4" xfId="19462" xr:uid="{00000000-0005-0000-0000-0000064C0000}"/>
    <cellStyle name="Normal 230 2 2 4 2" xfId="19463" xr:uid="{00000000-0005-0000-0000-0000074C0000}"/>
    <cellStyle name="Normal 230 2 2 4 2 2" xfId="19464" xr:uid="{00000000-0005-0000-0000-0000084C0000}"/>
    <cellStyle name="Normal 230 2 2 4 3" xfId="19465" xr:uid="{00000000-0005-0000-0000-0000094C0000}"/>
    <cellStyle name="Normal 230 2 2 5" xfId="19466" xr:uid="{00000000-0005-0000-0000-00000A4C0000}"/>
    <cellStyle name="Normal 230 2 3" xfId="19467" xr:uid="{00000000-0005-0000-0000-00000B4C0000}"/>
    <cellStyle name="Normal 230 2 3 2" xfId="19468" xr:uid="{00000000-0005-0000-0000-00000C4C0000}"/>
    <cellStyle name="Normal 230 2 3 2 2" xfId="19469" xr:uid="{00000000-0005-0000-0000-00000D4C0000}"/>
    <cellStyle name="Normal 230 2 3 2 2 2" xfId="19470" xr:uid="{00000000-0005-0000-0000-00000E4C0000}"/>
    <cellStyle name="Normal 230 2 3 2 3" xfId="19471" xr:uid="{00000000-0005-0000-0000-00000F4C0000}"/>
    <cellStyle name="Normal 230 2 3 2 3 2" xfId="19472" xr:uid="{00000000-0005-0000-0000-0000104C0000}"/>
    <cellStyle name="Normal 230 2 3 2 3 2 2" xfId="19473" xr:uid="{00000000-0005-0000-0000-0000114C0000}"/>
    <cellStyle name="Normal 230 2 3 2 3 3" xfId="19474" xr:uid="{00000000-0005-0000-0000-0000124C0000}"/>
    <cellStyle name="Normal 230 2 3 2 4" xfId="19475" xr:uid="{00000000-0005-0000-0000-0000134C0000}"/>
    <cellStyle name="Normal 230 2 3 3" xfId="19476" xr:uid="{00000000-0005-0000-0000-0000144C0000}"/>
    <cellStyle name="Normal 230 2 3 3 2" xfId="19477" xr:uid="{00000000-0005-0000-0000-0000154C0000}"/>
    <cellStyle name="Normal 230 2 3 3 2 2" xfId="19478" xr:uid="{00000000-0005-0000-0000-0000164C0000}"/>
    <cellStyle name="Normal 230 2 3 3 3" xfId="19479" xr:uid="{00000000-0005-0000-0000-0000174C0000}"/>
    <cellStyle name="Normal 230 2 3 4" xfId="19480" xr:uid="{00000000-0005-0000-0000-0000184C0000}"/>
    <cellStyle name="Normal 230 2 3 4 2" xfId="19481" xr:uid="{00000000-0005-0000-0000-0000194C0000}"/>
    <cellStyle name="Normal 230 2 3 4 2 2" xfId="19482" xr:uid="{00000000-0005-0000-0000-00001A4C0000}"/>
    <cellStyle name="Normal 230 2 3 4 3" xfId="19483" xr:uid="{00000000-0005-0000-0000-00001B4C0000}"/>
    <cellStyle name="Normal 230 2 3 5" xfId="19484" xr:uid="{00000000-0005-0000-0000-00001C4C0000}"/>
    <cellStyle name="Normal 230 2 3 5 2" xfId="19485" xr:uid="{00000000-0005-0000-0000-00001D4C0000}"/>
    <cellStyle name="Normal 230 2 3 5 2 2" xfId="19486" xr:uid="{00000000-0005-0000-0000-00001E4C0000}"/>
    <cellStyle name="Normal 230 2 3 5 3" xfId="19487" xr:uid="{00000000-0005-0000-0000-00001F4C0000}"/>
    <cellStyle name="Normal 230 2 3 6" xfId="19488" xr:uid="{00000000-0005-0000-0000-0000204C0000}"/>
    <cellStyle name="Normal 230 2 4" xfId="19489" xr:uid="{00000000-0005-0000-0000-0000214C0000}"/>
    <cellStyle name="Normal 230 2 4 2" xfId="19490" xr:uid="{00000000-0005-0000-0000-0000224C0000}"/>
    <cellStyle name="Normal 230 2 4 2 2" xfId="19491" xr:uid="{00000000-0005-0000-0000-0000234C0000}"/>
    <cellStyle name="Normal 230 2 4 3" xfId="19492" xr:uid="{00000000-0005-0000-0000-0000244C0000}"/>
    <cellStyle name="Normal 230 2 5" xfId="19493" xr:uid="{00000000-0005-0000-0000-0000254C0000}"/>
    <cellStyle name="Normal 230 2 5 2" xfId="19494" xr:uid="{00000000-0005-0000-0000-0000264C0000}"/>
    <cellStyle name="Normal 230 2 5 2 2" xfId="19495" xr:uid="{00000000-0005-0000-0000-0000274C0000}"/>
    <cellStyle name="Normal 230 2 5 3" xfId="19496" xr:uid="{00000000-0005-0000-0000-0000284C0000}"/>
    <cellStyle name="Normal 230 2 6" xfId="19497" xr:uid="{00000000-0005-0000-0000-0000294C0000}"/>
    <cellStyle name="Normal 230 2 6 2" xfId="19498" xr:uid="{00000000-0005-0000-0000-00002A4C0000}"/>
    <cellStyle name="Normal 230 2 6 2 2" xfId="19499" xr:uid="{00000000-0005-0000-0000-00002B4C0000}"/>
    <cellStyle name="Normal 230 2 6 3" xfId="19500" xr:uid="{00000000-0005-0000-0000-00002C4C0000}"/>
    <cellStyle name="Normal 230 2 7" xfId="19501" xr:uid="{00000000-0005-0000-0000-00002D4C0000}"/>
    <cellStyle name="Normal 230 3" xfId="19502" xr:uid="{00000000-0005-0000-0000-00002E4C0000}"/>
    <cellStyle name="Normal 230 3 2" xfId="19503" xr:uid="{00000000-0005-0000-0000-00002F4C0000}"/>
    <cellStyle name="Normal 230 3 2 2" xfId="19504" xr:uid="{00000000-0005-0000-0000-0000304C0000}"/>
    <cellStyle name="Normal 230 3 3" xfId="19505" xr:uid="{00000000-0005-0000-0000-0000314C0000}"/>
    <cellStyle name="Normal 230 3 3 2" xfId="19506" xr:uid="{00000000-0005-0000-0000-0000324C0000}"/>
    <cellStyle name="Normal 230 3 3 2 2" xfId="19507" xr:uid="{00000000-0005-0000-0000-0000334C0000}"/>
    <cellStyle name="Normal 230 3 3 3" xfId="19508" xr:uid="{00000000-0005-0000-0000-0000344C0000}"/>
    <cellStyle name="Normal 230 3 4" xfId="19509" xr:uid="{00000000-0005-0000-0000-0000354C0000}"/>
    <cellStyle name="Normal 230 3 4 2" xfId="19510" xr:uid="{00000000-0005-0000-0000-0000364C0000}"/>
    <cellStyle name="Normal 230 3 4 2 2" xfId="19511" xr:uid="{00000000-0005-0000-0000-0000374C0000}"/>
    <cellStyle name="Normal 230 3 4 3" xfId="19512" xr:uid="{00000000-0005-0000-0000-0000384C0000}"/>
    <cellStyle name="Normal 230 3 5" xfId="19513" xr:uid="{00000000-0005-0000-0000-0000394C0000}"/>
    <cellStyle name="Normal 230 4" xfId="19514" xr:uid="{00000000-0005-0000-0000-00003A4C0000}"/>
    <cellStyle name="Normal 230 4 2" xfId="19515" xr:uid="{00000000-0005-0000-0000-00003B4C0000}"/>
    <cellStyle name="Normal 230 4 2 2" xfId="19516" xr:uid="{00000000-0005-0000-0000-00003C4C0000}"/>
    <cellStyle name="Normal 230 4 2 2 2" xfId="19517" xr:uid="{00000000-0005-0000-0000-00003D4C0000}"/>
    <cellStyle name="Normal 230 4 2 3" xfId="19518" xr:uid="{00000000-0005-0000-0000-00003E4C0000}"/>
    <cellStyle name="Normal 230 4 2 3 2" xfId="19519" xr:uid="{00000000-0005-0000-0000-00003F4C0000}"/>
    <cellStyle name="Normal 230 4 2 3 2 2" xfId="19520" xr:uid="{00000000-0005-0000-0000-0000404C0000}"/>
    <cellStyle name="Normal 230 4 2 3 3" xfId="19521" xr:uid="{00000000-0005-0000-0000-0000414C0000}"/>
    <cellStyle name="Normal 230 4 2 4" xfId="19522" xr:uid="{00000000-0005-0000-0000-0000424C0000}"/>
    <cellStyle name="Normal 230 4 3" xfId="19523" xr:uid="{00000000-0005-0000-0000-0000434C0000}"/>
    <cellStyle name="Normal 230 4 3 2" xfId="19524" xr:uid="{00000000-0005-0000-0000-0000444C0000}"/>
    <cellStyle name="Normal 230 4 3 2 2" xfId="19525" xr:uid="{00000000-0005-0000-0000-0000454C0000}"/>
    <cellStyle name="Normal 230 4 3 3" xfId="19526" xr:uid="{00000000-0005-0000-0000-0000464C0000}"/>
    <cellStyle name="Normal 230 4 4" xfId="19527" xr:uid="{00000000-0005-0000-0000-0000474C0000}"/>
    <cellStyle name="Normal 230 4 4 2" xfId="19528" xr:uid="{00000000-0005-0000-0000-0000484C0000}"/>
    <cellStyle name="Normal 230 4 4 2 2" xfId="19529" xr:uid="{00000000-0005-0000-0000-0000494C0000}"/>
    <cellStyle name="Normal 230 4 4 3" xfId="19530" xr:uid="{00000000-0005-0000-0000-00004A4C0000}"/>
    <cellStyle name="Normal 230 4 5" xfId="19531" xr:uid="{00000000-0005-0000-0000-00004B4C0000}"/>
    <cellStyle name="Normal 230 4 5 2" xfId="19532" xr:uid="{00000000-0005-0000-0000-00004C4C0000}"/>
    <cellStyle name="Normal 230 4 5 2 2" xfId="19533" xr:uid="{00000000-0005-0000-0000-00004D4C0000}"/>
    <cellStyle name="Normal 230 4 5 3" xfId="19534" xr:uid="{00000000-0005-0000-0000-00004E4C0000}"/>
    <cellStyle name="Normal 230 4 6" xfId="19535" xr:uid="{00000000-0005-0000-0000-00004F4C0000}"/>
    <cellStyle name="Normal 230 5" xfId="19536" xr:uid="{00000000-0005-0000-0000-0000504C0000}"/>
    <cellStyle name="Normal 230 5 2" xfId="19537" xr:uid="{00000000-0005-0000-0000-0000514C0000}"/>
    <cellStyle name="Normal 230 5 2 2" xfId="19538" xr:uid="{00000000-0005-0000-0000-0000524C0000}"/>
    <cellStyle name="Normal 230 5 3" xfId="19539" xr:uid="{00000000-0005-0000-0000-0000534C0000}"/>
    <cellStyle name="Normal 230 6" xfId="19540" xr:uid="{00000000-0005-0000-0000-0000544C0000}"/>
    <cellStyle name="Normal 230 6 2" xfId="19541" xr:uid="{00000000-0005-0000-0000-0000554C0000}"/>
    <cellStyle name="Normal 230 6 2 2" xfId="19542" xr:uid="{00000000-0005-0000-0000-0000564C0000}"/>
    <cellStyle name="Normal 230 6 3" xfId="19543" xr:uid="{00000000-0005-0000-0000-0000574C0000}"/>
    <cellStyle name="Normal 230 7" xfId="19544" xr:uid="{00000000-0005-0000-0000-0000584C0000}"/>
    <cellStyle name="Normal 230 7 2" xfId="19545" xr:uid="{00000000-0005-0000-0000-0000594C0000}"/>
    <cellStyle name="Normal 230 7 2 2" xfId="19546" xr:uid="{00000000-0005-0000-0000-00005A4C0000}"/>
    <cellStyle name="Normal 230 7 3" xfId="19547" xr:uid="{00000000-0005-0000-0000-00005B4C0000}"/>
    <cellStyle name="Normal 230 8" xfId="19548" xr:uid="{00000000-0005-0000-0000-00005C4C0000}"/>
    <cellStyle name="Normal 231" xfId="19549" xr:uid="{00000000-0005-0000-0000-00005D4C0000}"/>
    <cellStyle name="Normal 231 2" xfId="19550" xr:uid="{00000000-0005-0000-0000-00005E4C0000}"/>
    <cellStyle name="Normal 231 2 2" xfId="19551" xr:uid="{00000000-0005-0000-0000-00005F4C0000}"/>
    <cellStyle name="Normal 231 2 2 2" xfId="19552" xr:uid="{00000000-0005-0000-0000-0000604C0000}"/>
    <cellStyle name="Normal 231 2 2 2 2" xfId="19553" xr:uid="{00000000-0005-0000-0000-0000614C0000}"/>
    <cellStyle name="Normal 231 2 2 3" xfId="19554" xr:uid="{00000000-0005-0000-0000-0000624C0000}"/>
    <cellStyle name="Normal 231 2 2 3 2" xfId="19555" xr:uid="{00000000-0005-0000-0000-0000634C0000}"/>
    <cellStyle name="Normal 231 2 2 3 2 2" xfId="19556" xr:uid="{00000000-0005-0000-0000-0000644C0000}"/>
    <cellStyle name="Normal 231 2 2 3 3" xfId="19557" xr:uid="{00000000-0005-0000-0000-0000654C0000}"/>
    <cellStyle name="Normal 231 2 2 4" xfId="19558" xr:uid="{00000000-0005-0000-0000-0000664C0000}"/>
    <cellStyle name="Normal 231 2 2 4 2" xfId="19559" xr:uid="{00000000-0005-0000-0000-0000674C0000}"/>
    <cellStyle name="Normal 231 2 2 4 2 2" xfId="19560" xr:uid="{00000000-0005-0000-0000-0000684C0000}"/>
    <cellStyle name="Normal 231 2 2 4 3" xfId="19561" xr:uid="{00000000-0005-0000-0000-0000694C0000}"/>
    <cellStyle name="Normal 231 2 2 5" xfId="19562" xr:uid="{00000000-0005-0000-0000-00006A4C0000}"/>
    <cellStyle name="Normal 231 2 3" xfId="19563" xr:uid="{00000000-0005-0000-0000-00006B4C0000}"/>
    <cellStyle name="Normal 231 2 3 2" xfId="19564" xr:uid="{00000000-0005-0000-0000-00006C4C0000}"/>
    <cellStyle name="Normal 231 2 3 2 2" xfId="19565" xr:uid="{00000000-0005-0000-0000-00006D4C0000}"/>
    <cellStyle name="Normal 231 2 3 2 2 2" xfId="19566" xr:uid="{00000000-0005-0000-0000-00006E4C0000}"/>
    <cellStyle name="Normal 231 2 3 2 3" xfId="19567" xr:uid="{00000000-0005-0000-0000-00006F4C0000}"/>
    <cellStyle name="Normal 231 2 3 2 3 2" xfId="19568" xr:uid="{00000000-0005-0000-0000-0000704C0000}"/>
    <cellStyle name="Normal 231 2 3 2 3 2 2" xfId="19569" xr:uid="{00000000-0005-0000-0000-0000714C0000}"/>
    <cellStyle name="Normal 231 2 3 2 3 3" xfId="19570" xr:uid="{00000000-0005-0000-0000-0000724C0000}"/>
    <cellStyle name="Normal 231 2 3 2 4" xfId="19571" xr:uid="{00000000-0005-0000-0000-0000734C0000}"/>
    <cellStyle name="Normal 231 2 3 3" xfId="19572" xr:uid="{00000000-0005-0000-0000-0000744C0000}"/>
    <cellStyle name="Normal 231 2 3 3 2" xfId="19573" xr:uid="{00000000-0005-0000-0000-0000754C0000}"/>
    <cellStyle name="Normal 231 2 3 3 2 2" xfId="19574" xr:uid="{00000000-0005-0000-0000-0000764C0000}"/>
    <cellStyle name="Normal 231 2 3 3 3" xfId="19575" xr:uid="{00000000-0005-0000-0000-0000774C0000}"/>
    <cellStyle name="Normal 231 2 3 4" xfId="19576" xr:uid="{00000000-0005-0000-0000-0000784C0000}"/>
    <cellStyle name="Normal 231 2 3 4 2" xfId="19577" xr:uid="{00000000-0005-0000-0000-0000794C0000}"/>
    <cellStyle name="Normal 231 2 3 4 2 2" xfId="19578" xr:uid="{00000000-0005-0000-0000-00007A4C0000}"/>
    <cellStyle name="Normal 231 2 3 4 3" xfId="19579" xr:uid="{00000000-0005-0000-0000-00007B4C0000}"/>
    <cellStyle name="Normal 231 2 3 5" xfId="19580" xr:uid="{00000000-0005-0000-0000-00007C4C0000}"/>
    <cellStyle name="Normal 231 2 3 5 2" xfId="19581" xr:uid="{00000000-0005-0000-0000-00007D4C0000}"/>
    <cellStyle name="Normal 231 2 3 5 2 2" xfId="19582" xr:uid="{00000000-0005-0000-0000-00007E4C0000}"/>
    <cellStyle name="Normal 231 2 3 5 3" xfId="19583" xr:uid="{00000000-0005-0000-0000-00007F4C0000}"/>
    <cellStyle name="Normal 231 2 3 6" xfId="19584" xr:uid="{00000000-0005-0000-0000-0000804C0000}"/>
    <cellStyle name="Normal 231 2 4" xfId="19585" xr:uid="{00000000-0005-0000-0000-0000814C0000}"/>
    <cellStyle name="Normal 231 2 4 2" xfId="19586" xr:uid="{00000000-0005-0000-0000-0000824C0000}"/>
    <cellStyle name="Normal 231 2 4 2 2" xfId="19587" xr:uid="{00000000-0005-0000-0000-0000834C0000}"/>
    <cellStyle name="Normal 231 2 4 3" xfId="19588" xr:uid="{00000000-0005-0000-0000-0000844C0000}"/>
    <cellStyle name="Normal 231 2 5" xfId="19589" xr:uid="{00000000-0005-0000-0000-0000854C0000}"/>
    <cellStyle name="Normal 231 2 5 2" xfId="19590" xr:uid="{00000000-0005-0000-0000-0000864C0000}"/>
    <cellStyle name="Normal 231 2 5 2 2" xfId="19591" xr:uid="{00000000-0005-0000-0000-0000874C0000}"/>
    <cellStyle name="Normal 231 2 5 3" xfId="19592" xr:uid="{00000000-0005-0000-0000-0000884C0000}"/>
    <cellStyle name="Normal 231 2 6" xfId="19593" xr:uid="{00000000-0005-0000-0000-0000894C0000}"/>
    <cellStyle name="Normal 231 2 6 2" xfId="19594" xr:uid="{00000000-0005-0000-0000-00008A4C0000}"/>
    <cellStyle name="Normal 231 2 6 2 2" xfId="19595" xr:uid="{00000000-0005-0000-0000-00008B4C0000}"/>
    <cellStyle name="Normal 231 2 6 3" xfId="19596" xr:uid="{00000000-0005-0000-0000-00008C4C0000}"/>
    <cellStyle name="Normal 231 2 7" xfId="19597" xr:uid="{00000000-0005-0000-0000-00008D4C0000}"/>
    <cellStyle name="Normal 231 3" xfId="19598" xr:uid="{00000000-0005-0000-0000-00008E4C0000}"/>
    <cellStyle name="Normal 231 3 2" xfId="19599" xr:uid="{00000000-0005-0000-0000-00008F4C0000}"/>
    <cellStyle name="Normal 231 3 2 2" xfId="19600" xr:uid="{00000000-0005-0000-0000-0000904C0000}"/>
    <cellStyle name="Normal 231 3 3" xfId="19601" xr:uid="{00000000-0005-0000-0000-0000914C0000}"/>
    <cellStyle name="Normal 231 3 3 2" xfId="19602" xr:uid="{00000000-0005-0000-0000-0000924C0000}"/>
    <cellStyle name="Normal 231 3 3 2 2" xfId="19603" xr:uid="{00000000-0005-0000-0000-0000934C0000}"/>
    <cellStyle name="Normal 231 3 3 3" xfId="19604" xr:uid="{00000000-0005-0000-0000-0000944C0000}"/>
    <cellStyle name="Normal 231 3 4" xfId="19605" xr:uid="{00000000-0005-0000-0000-0000954C0000}"/>
    <cellStyle name="Normal 231 3 4 2" xfId="19606" xr:uid="{00000000-0005-0000-0000-0000964C0000}"/>
    <cellStyle name="Normal 231 3 4 2 2" xfId="19607" xr:uid="{00000000-0005-0000-0000-0000974C0000}"/>
    <cellStyle name="Normal 231 3 4 3" xfId="19608" xr:uid="{00000000-0005-0000-0000-0000984C0000}"/>
    <cellStyle name="Normal 231 3 5" xfId="19609" xr:uid="{00000000-0005-0000-0000-0000994C0000}"/>
    <cellStyle name="Normal 231 4" xfId="19610" xr:uid="{00000000-0005-0000-0000-00009A4C0000}"/>
    <cellStyle name="Normal 231 4 2" xfId="19611" xr:uid="{00000000-0005-0000-0000-00009B4C0000}"/>
    <cellStyle name="Normal 231 4 2 2" xfId="19612" xr:uid="{00000000-0005-0000-0000-00009C4C0000}"/>
    <cellStyle name="Normal 231 4 2 2 2" xfId="19613" xr:uid="{00000000-0005-0000-0000-00009D4C0000}"/>
    <cellStyle name="Normal 231 4 2 3" xfId="19614" xr:uid="{00000000-0005-0000-0000-00009E4C0000}"/>
    <cellStyle name="Normal 231 4 2 3 2" xfId="19615" xr:uid="{00000000-0005-0000-0000-00009F4C0000}"/>
    <cellStyle name="Normal 231 4 2 3 2 2" xfId="19616" xr:uid="{00000000-0005-0000-0000-0000A04C0000}"/>
    <cellStyle name="Normal 231 4 2 3 3" xfId="19617" xr:uid="{00000000-0005-0000-0000-0000A14C0000}"/>
    <cellStyle name="Normal 231 4 2 4" xfId="19618" xr:uid="{00000000-0005-0000-0000-0000A24C0000}"/>
    <cellStyle name="Normal 231 4 3" xfId="19619" xr:uid="{00000000-0005-0000-0000-0000A34C0000}"/>
    <cellStyle name="Normal 231 4 3 2" xfId="19620" xr:uid="{00000000-0005-0000-0000-0000A44C0000}"/>
    <cellStyle name="Normal 231 4 3 2 2" xfId="19621" xr:uid="{00000000-0005-0000-0000-0000A54C0000}"/>
    <cellStyle name="Normal 231 4 3 3" xfId="19622" xr:uid="{00000000-0005-0000-0000-0000A64C0000}"/>
    <cellStyle name="Normal 231 4 4" xfId="19623" xr:uid="{00000000-0005-0000-0000-0000A74C0000}"/>
    <cellStyle name="Normal 231 4 4 2" xfId="19624" xr:uid="{00000000-0005-0000-0000-0000A84C0000}"/>
    <cellStyle name="Normal 231 4 4 2 2" xfId="19625" xr:uid="{00000000-0005-0000-0000-0000A94C0000}"/>
    <cellStyle name="Normal 231 4 4 3" xfId="19626" xr:uid="{00000000-0005-0000-0000-0000AA4C0000}"/>
    <cellStyle name="Normal 231 4 5" xfId="19627" xr:uid="{00000000-0005-0000-0000-0000AB4C0000}"/>
    <cellStyle name="Normal 231 4 5 2" xfId="19628" xr:uid="{00000000-0005-0000-0000-0000AC4C0000}"/>
    <cellStyle name="Normal 231 4 5 2 2" xfId="19629" xr:uid="{00000000-0005-0000-0000-0000AD4C0000}"/>
    <cellStyle name="Normal 231 4 5 3" xfId="19630" xr:uid="{00000000-0005-0000-0000-0000AE4C0000}"/>
    <cellStyle name="Normal 231 4 6" xfId="19631" xr:uid="{00000000-0005-0000-0000-0000AF4C0000}"/>
    <cellStyle name="Normal 231 5" xfId="19632" xr:uid="{00000000-0005-0000-0000-0000B04C0000}"/>
    <cellStyle name="Normal 231 5 2" xfId="19633" xr:uid="{00000000-0005-0000-0000-0000B14C0000}"/>
    <cellStyle name="Normal 231 5 2 2" xfId="19634" xr:uid="{00000000-0005-0000-0000-0000B24C0000}"/>
    <cellStyle name="Normal 231 5 3" xfId="19635" xr:uid="{00000000-0005-0000-0000-0000B34C0000}"/>
    <cellStyle name="Normal 231 6" xfId="19636" xr:uid="{00000000-0005-0000-0000-0000B44C0000}"/>
    <cellStyle name="Normal 231 6 2" xfId="19637" xr:uid="{00000000-0005-0000-0000-0000B54C0000}"/>
    <cellStyle name="Normal 231 6 2 2" xfId="19638" xr:uid="{00000000-0005-0000-0000-0000B64C0000}"/>
    <cellStyle name="Normal 231 6 3" xfId="19639" xr:uid="{00000000-0005-0000-0000-0000B74C0000}"/>
    <cellStyle name="Normal 231 7" xfId="19640" xr:uid="{00000000-0005-0000-0000-0000B84C0000}"/>
    <cellStyle name="Normal 231 7 2" xfId="19641" xr:uid="{00000000-0005-0000-0000-0000B94C0000}"/>
    <cellStyle name="Normal 231 7 2 2" xfId="19642" xr:uid="{00000000-0005-0000-0000-0000BA4C0000}"/>
    <cellStyle name="Normal 231 7 3" xfId="19643" xr:uid="{00000000-0005-0000-0000-0000BB4C0000}"/>
    <cellStyle name="Normal 231 8" xfId="19644" xr:uid="{00000000-0005-0000-0000-0000BC4C0000}"/>
    <cellStyle name="Normal 232" xfId="19645" xr:uid="{00000000-0005-0000-0000-0000BD4C0000}"/>
    <cellStyle name="Normal 232 2" xfId="19646" xr:uid="{00000000-0005-0000-0000-0000BE4C0000}"/>
    <cellStyle name="Normal 232 2 2" xfId="19647" xr:uid="{00000000-0005-0000-0000-0000BF4C0000}"/>
    <cellStyle name="Normal 232 2 2 2" xfId="19648" xr:uid="{00000000-0005-0000-0000-0000C04C0000}"/>
    <cellStyle name="Normal 232 2 2 2 2" xfId="19649" xr:uid="{00000000-0005-0000-0000-0000C14C0000}"/>
    <cellStyle name="Normal 232 2 2 3" xfId="19650" xr:uid="{00000000-0005-0000-0000-0000C24C0000}"/>
    <cellStyle name="Normal 232 2 2 3 2" xfId="19651" xr:uid="{00000000-0005-0000-0000-0000C34C0000}"/>
    <cellStyle name="Normal 232 2 2 3 2 2" xfId="19652" xr:uid="{00000000-0005-0000-0000-0000C44C0000}"/>
    <cellStyle name="Normal 232 2 2 3 3" xfId="19653" xr:uid="{00000000-0005-0000-0000-0000C54C0000}"/>
    <cellStyle name="Normal 232 2 2 4" xfId="19654" xr:uid="{00000000-0005-0000-0000-0000C64C0000}"/>
    <cellStyle name="Normal 232 2 2 4 2" xfId="19655" xr:uid="{00000000-0005-0000-0000-0000C74C0000}"/>
    <cellStyle name="Normal 232 2 2 4 2 2" xfId="19656" xr:uid="{00000000-0005-0000-0000-0000C84C0000}"/>
    <cellStyle name="Normal 232 2 2 4 3" xfId="19657" xr:uid="{00000000-0005-0000-0000-0000C94C0000}"/>
    <cellStyle name="Normal 232 2 2 5" xfId="19658" xr:uid="{00000000-0005-0000-0000-0000CA4C0000}"/>
    <cellStyle name="Normal 232 2 3" xfId="19659" xr:uid="{00000000-0005-0000-0000-0000CB4C0000}"/>
    <cellStyle name="Normal 232 2 3 2" xfId="19660" xr:uid="{00000000-0005-0000-0000-0000CC4C0000}"/>
    <cellStyle name="Normal 232 2 3 2 2" xfId="19661" xr:uid="{00000000-0005-0000-0000-0000CD4C0000}"/>
    <cellStyle name="Normal 232 2 3 2 2 2" xfId="19662" xr:uid="{00000000-0005-0000-0000-0000CE4C0000}"/>
    <cellStyle name="Normal 232 2 3 2 3" xfId="19663" xr:uid="{00000000-0005-0000-0000-0000CF4C0000}"/>
    <cellStyle name="Normal 232 2 3 2 3 2" xfId="19664" xr:uid="{00000000-0005-0000-0000-0000D04C0000}"/>
    <cellStyle name="Normal 232 2 3 2 3 2 2" xfId="19665" xr:uid="{00000000-0005-0000-0000-0000D14C0000}"/>
    <cellStyle name="Normal 232 2 3 2 3 3" xfId="19666" xr:uid="{00000000-0005-0000-0000-0000D24C0000}"/>
    <cellStyle name="Normal 232 2 3 2 4" xfId="19667" xr:uid="{00000000-0005-0000-0000-0000D34C0000}"/>
    <cellStyle name="Normal 232 2 3 3" xfId="19668" xr:uid="{00000000-0005-0000-0000-0000D44C0000}"/>
    <cellStyle name="Normal 232 2 3 3 2" xfId="19669" xr:uid="{00000000-0005-0000-0000-0000D54C0000}"/>
    <cellStyle name="Normal 232 2 3 3 2 2" xfId="19670" xr:uid="{00000000-0005-0000-0000-0000D64C0000}"/>
    <cellStyle name="Normal 232 2 3 3 3" xfId="19671" xr:uid="{00000000-0005-0000-0000-0000D74C0000}"/>
    <cellStyle name="Normal 232 2 3 4" xfId="19672" xr:uid="{00000000-0005-0000-0000-0000D84C0000}"/>
    <cellStyle name="Normal 232 2 3 4 2" xfId="19673" xr:uid="{00000000-0005-0000-0000-0000D94C0000}"/>
    <cellStyle name="Normal 232 2 3 4 2 2" xfId="19674" xr:uid="{00000000-0005-0000-0000-0000DA4C0000}"/>
    <cellStyle name="Normal 232 2 3 4 3" xfId="19675" xr:uid="{00000000-0005-0000-0000-0000DB4C0000}"/>
    <cellStyle name="Normal 232 2 3 5" xfId="19676" xr:uid="{00000000-0005-0000-0000-0000DC4C0000}"/>
    <cellStyle name="Normal 232 2 3 5 2" xfId="19677" xr:uid="{00000000-0005-0000-0000-0000DD4C0000}"/>
    <cellStyle name="Normal 232 2 3 5 2 2" xfId="19678" xr:uid="{00000000-0005-0000-0000-0000DE4C0000}"/>
    <cellStyle name="Normal 232 2 3 5 3" xfId="19679" xr:uid="{00000000-0005-0000-0000-0000DF4C0000}"/>
    <cellStyle name="Normal 232 2 3 6" xfId="19680" xr:uid="{00000000-0005-0000-0000-0000E04C0000}"/>
    <cellStyle name="Normal 232 2 4" xfId="19681" xr:uid="{00000000-0005-0000-0000-0000E14C0000}"/>
    <cellStyle name="Normal 232 2 4 2" xfId="19682" xr:uid="{00000000-0005-0000-0000-0000E24C0000}"/>
    <cellStyle name="Normal 232 2 4 2 2" xfId="19683" xr:uid="{00000000-0005-0000-0000-0000E34C0000}"/>
    <cellStyle name="Normal 232 2 4 3" xfId="19684" xr:uid="{00000000-0005-0000-0000-0000E44C0000}"/>
    <cellStyle name="Normal 232 2 5" xfId="19685" xr:uid="{00000000-0005-0000-0000-0000E54C0000}"/>
    <cellStyle name="Normal 232 2 5 2" xfId="19686" xr:uid="{00000000-0005-0000-0000-0000E64C0000}"/>
    <cellStyle name="Normal 232 2 5 2 2" xfId="19687" xr:uid="{00000000-0005-0000-0000-0000E74C0000}"/>
    <cellStyle name="Normal 232 2 5 3" xfId="19688" xr:uid="{00000000-0005-0000-0000-0000E84C0000}"/>
    <cellStyle name="Normal 232 2 6" xfId="19689" xr:uid="{00000000-0005-0000-0000-0000E94C0000}"/>
    <cellStyle name="Normal 232 2 6 2" xfId="19690" xr:uid="{00000000-0005-0000-0000-0000EA4C0000}"/>
    <cellStyle name="Normal 232 2 6 2 2" xfId="19691" xr:uid="{00000000-0005-0000-0000-0000EB4C0000}"/>
    <cellStyle name="Normal 232 2 6 3" xfId="19692" xr:uid="{00000000-0005-0000-0000-0000EC4C0000}"/>
    <cellStyle name="Normal 232 2 7" xfId="19693" xr:uid="{00000000-0005-0000-0000-0000ED4C0000}"/>
    <cellStyle name="Normal 232 3" xfId="19694" xr:uid="{00000000-0005-0000-0000-0000EE4C0000}"/>
    <cellStyle name="Normal 232 3 2" xfId="19695" xr:uid="{00000000-0005-0000-0000-0000EF4C0000}"/>
    <cellStyle name="Normal 232 3 2 2" xfId="19696" xr:uid="{00000000-0005-0000-0000-0000F04C0000}"/>
    <cellStyle name="Normal 232 3 3" xfId="19697" xr:uid="{00000000-0005-0000-0000-0000F14C0000}"/>
    <cellStyle name="Normal 232 3 3 2" xfId="19698" xr:uid="{00000000-0005-0000-0000-0000F24C0000}"/>
    <cellStyle name="Normal 232 3 3 2 2" xfId="19699" xr:uid="{00000000-0005-0000-0000-0000F34C0000}"/>
    <cellStyle name="Normal 232 3 3 3" xfId="19700" xr:uid="{00000000-0005-0000-0000-0000F44C0000}"/>
    <cellStyle name="Normal 232 3 4" xfId="19701" xr:uid="{00000000-0005-0000-0000-0000F54C0000}"/>
    <cellStyle name="Normal 232 3 4 2" xfId="19702" xr:uid="{00000000-0005-0000-0000-0000F64C0000}"/>
    <cellStyle name="Normal 232 3 4 2 2" xfId="19703" xr:uid="{00000000-0005-0000-0000-0000F74C0000}"/>
    <cellStyle name="Normal 232 3 4 3" xfId="19704" xr:uid="{00000000-0005-0000-0000-0000F84C0000}"/>
    <cellStyle name="Normal 232 3 5" xfId="19705" xr:uid="{00000000-0005-0000-0000-0000F94C0000}"/>
    <cellStyle name="Normal 232 4" xfId="19706" xr:uid="{00000000-0005-0000-0000-0000FA4C0000}"/>
    <cellStyle name="Normal 232 4 2" xfId="19707" xr:uid="{00000000-0005-0000-0000-0000FB4C0000}"/>
    <cellStyle name="Normal 232 4 2 2" xfId="19708" xr:uid="{00000000-0005-0000-0000-0000FC4C0000}"/>
    <cellStyle name="Normal 232 4 2 2 2" xfId="19709" xr:uid="{00000000-0005-0000-0000-0000FD4C0000}"/>
    <cellStyle name="Normal 232 4 2 3" xfId="19710" xr:uid="{00000000-0005-0000-0000-0000FE4C0000}"/>
    <cellStyle name="Normal 232 4 2 3 2" xfId="19711" xr:uid="{00000000-0005-0000-0000-0000FF4C0000}"/>
    <cellStyle name="Normal 232 4 2 3 2 2" xfId="19712" xr:uid="{00000000-0005-0000-0000-0000004D0000}"/>
    <cellStyle name="Normal 232 4 2 3 3" xfId="19713" xr:uid="{00000000-0005-0000-0000-0000014D0000}"/>
    <cellStyle name="Normal 232 4 2 4" xfId="19714" xr:uid="{00000000-0005-0000-0000-0000024D0000}"/>
    <cellStyle name="Normal 232 4 3" xfId="19715" xr:uid="{00000000-0005-0000-0000-0000034D0000}"/>
    <cellStyle name="Normal 232 4 3 2" xfId="19716" xr:uid="{00000000-0005-0000-0000-0000044D0000}"/>
    <cellStyle name="Normal 232 4 3 2 2" xfId="19717" xr:uid="{00000000-0005-0000-0000-0000054D0000}"/>
    <cellStyle name="Normal 232 4 3 3" xfId="19718" xr:uid="{00000000-0005-0000-0000-0000064D0000}"/>
    <cellStyle name="Normal 232 4 4" xfId="19719" xr:uid="{00000000-0005-0000-0000-0000074D0000}"/>
    <cellStyle name="Normal 232 4 4 2" xfId="19720" xr:uid="{00000000-0005-0000-0000-0000084D0000}"/>
    <cellStyle name="Normal 232 4 4 2 2" xfId="19721" xr:uid="{00000000-0005-0000-0000-0000094D0000}"/>
    <cellStyle name="Normal 232 4 4 3" xfId="19722" xr:uid="{00000000-0005-0000-0000-00000A4D0000}"/>
    <cellStyle name="Normal 232 4 5" xfId="19723" xr:uid="{00000000-0005-0000-0000-00000B4D0000}"/>
    <cellStyle name="Normal 232 4 5 2" xfId="19724" xr:uid="{00000000-0005-0000-0000-00000C4D0000}"/>
    <cellStyle name="Normal 232 4 5 2 2" xfId="19725" xr:uid="{00000000-0005-0000-0000-00000D4D0000}"/>
    <cellStyle name="Normal 232 4 5 3" xfId="19726" xr:uid="{00000000-0005-0000-0000-00000E4D0000}"/>
    <cellStyle name="Normal 232 4 6" xfId="19727" xr:uid="{00000000-0005-0000-0000-00000F4D0000}"/>
    <cellStyle name="Normal 232 5" xfId="19728" xr:uid="{00000000-0005-0000-0000-0000104D0000}"/>
    <cellStyle name="Normal 232 5 2" xfId="19729" xr:uid="{00000000-0005-0000-0000-0000114D0000}"/>
    <cellStyle name="Normal 232 5 2 2" xfId="19730" xr:uid="{00000000-0005-0000-0000-0000124D0000}"/>
    <cellStyle name="Normal 232 5 3" xfId="19731" xr:uid="{00000000-0005-0000-0000-0000134D0000}"/>
    <cellStyle name="Normal 232 6" xfId="19732" xr:uid="{00000000-0005-0000-0000-0000144D0000}"/>
    <cellStyle name="Normal 232 6 2" xfId="19733" xr:uid="{00000000-0005-0000-0000-0000154D0000}"/>
    <cellStyle name="Normal 232 6 2 2" xfId="19734" xr:uid="{00000000-0005-0000-0000-0000164D0000}"/>
    <cellStyle name="Normal 232 6 3" xfId="19735" xr:uid="{00000000-0005-0000-0000-0000174D0000}"/>
    <cellStyle name="Normal 232 7" xfId="19736" xr:uid="{00000000-0005-0000-0000-0000184D0000}"/>
    <cellStyle name="Normal 232 7 2" xfId="19737" xr:uid="{00000000-0005-0000-0000-0000194D0000}"/>
    <cellStyle name="Normal 232 7 2 2" xfId="19738" xr:uid="{00000000-0005-0000-0000-00001A4D0000}"/>
    <cellStyle name="Normal 232 7 3" xfId="19739" xr:uid="{00000000-0005-0000-0000-00001B4D0000}"/>
    <cellStyle name="Normal 232 8" xfId="19740" xr:uid="{00000000-0005-0000-0000-00001C4D0000}"/>
    <cellStyle name="Normal 233" xfId="19741" xr:uid="{00000000-0005-0000-0000-00001D4D0000}"/>
    <cellStyle name="Normal 233 2" xfId="19742" xr:uid="{00000000-0005-0000-0000-00001E4D0000}"/>
    <cellStyle name="Normal 233 2 2" xfId="19743" xr:uid="{00000000-0005-0000-0000-00001F4D0000}"/>
    <cellStyle name="Normal 233 2 2 2" xfId="19744" xr:uid="{00000000-0005-0000-0000-0000204D0000}"/>
    <cellStyle name="Normal 233 2 2 2 2" xfId="19745" xr:uid="{00000000-0005-0000-0000-0000214D0000}"/>
    <cellStyle name="Normal 233 2 2 3" xfId="19746" xr:uid="{00000000-0005-0000-0000-0000224D0000}"/>
    <cellStyle name="Normal 233 2 2 3 2" xfId="19747" xr:uid="{00000000-0005-0000-0000-0000234D0000}"/>
    <cellStyle name="Normal 233 2 2 3 2 2" xfId="19748" xr:uid="{00000000-0005-0000-0000-0000244D0000}"/>
    <cellStyle name="Normal 233 2 2 3 3" xfId="19749" xr:uid="{00000000-0005-0000-0000-0000254D0000}"/>
    <cellStyle name="Normal 233 2 2 4" xfId="19750" xr:uid="{00000000-0005-0000-0000-0000264D0000}"/>
    <cellStyle name="Normal 233 2 2 4 2" xfId="19751" xr:uid="{00000000-0005-0000-0000-0000274D0000}"/>
    <cellStyle name="Normal 233 2 2 4 2 2" xfId="19752" xr:uid="{00000000-0005-0000-0000-0000284D0000}"/>
    <cellStyle name="Normal 233 2 2 4 3" xfId="19753" xr:uid="{00000000-0005-0000-0000-0000294D0000}"/>
    <cellStyle name="Normal 233 2 2 5" xfId="19754" xr:uid="{00000000-0005-0000-0000-00002A4D0000}"/>
    <cellStyle name="Normal 233 2 3" xfId="19755" xr:uid="{00000000-0005-0000-0000-00002B4D0000}"/>
    <cellStyle name="Normal 233 2 3 2" xfId="19756" xr:uid="{00000000-0005-0000-0000-00002C4D0000}"/>
    <cellStyle name="Normal 233 2 3 2 2" xfId="19757" xr:uid="{00000000-0005-0000-0000-00002D4D0000}"/>
    <cellStyle name="Normal 233 2 3 2 2 2" xfId="19758" xr:uid="{00000000-0005-0000-0000-00002E4D0000}"/>
    <cellStyle name="Normal 233 2 3 2 3" xfId="19759" xr:uid="{00000000-0005-0000-0000-00002F4D0000}"/>
    <cellStyle name="Normal 233 2 3 2 3 2" xfId="19760" xr:uid="{00000000-0005-0000-0000-0000304D0000}"/>
    <cellStyle name="Normal 233 2 3 2 3 2 2" xfId="19761" xr:uid="{00000000-0005-0000-0000-0000314D0000}"/>
    <cellStyle name="Normal 233 2 3 2 3 3" xfId="19762" xr:uid="{00000000-0005-0000-0000-0000324D0000}"/>
    <cellStyle name="Normal 233 2 3 2 4" xfId="19763" xr:uid="{00000000-0005-0000-0000-0000334D0000}"/>
    <cellStyle name="Normal 233 2 3 3" xfId="19764" xr:uid="{00000000-0005-0000-0000-0000344D0000}"/>
    <cellStyle name="Normal 233 2 3 3 2" xfId="19765" xr:uid="{00000000-0005-0000-0000-0000354D0000}"/>
    <cellStyle name="Normal 233 2 3 3 2 2" xfId="19766" xr:uid="{00000000-0005-0000-0000-0000364D0000}"/>
    <cellStyle name="Normal 233 2 3 3 3" xfId="19767" xr:uid="{00000000-0005-0000-0000-0000374D0000}"/>
    <cellStyle name="Normal 233 2 3 4" xfId="19768" xr:uid="{00000000-0005-0000-0000-0000384D0000}"/>
    <cellStyle name="Normal 233 2 3 4 2" xfId="19769" xr:uid="{00000000-0005-0000-0000-0000394D0000}"/>
    <cellStyle name="Normal 233 2 3 4 2 2" xfId="19770" xr:uid="{00000000-0005-0000-0000-00003A4D0000}"/>
    <cellStyle name="Normal 233 2 3 4 3" xfId="19771" xr:uid="{00000000-0005-0000-0000-00003B4D0000}"/>
    <cellStyle name="Normal 233 2 3 5" xfId="19772" xr:uid="{00000000-0005-0000-0000-00003C4D0000}"/>
    <cellStyle name="Normal 233 2 3 5 2" xfId="19773" xr:uid="{00000000-0005-0000-0000-00003D4D0000}"/>
    <cellStyle name="Normal 233 2 3 5 2 2" xfId="19774" xr:uid="{00000000-0005-0000-0000-00003E4D0000}"/>
    <cellStyle name="Normal 233 2 3 5 3" xfId="19775" xr:uid="{00000000-0005-0000-0000-00003F4D0000}"/>
    <cellStyle name="Normal 233 2 3 6" xfId="19776" xr:uid="{00000000-0005-0000-0000-0000404D0000}"/>
    <cellStyle name="Normal 233 2 4" xfId="19777" xr:uid="{00000000-0005-0000-0000-0000414D0000}"/>
    <cellStyle name="Normal 233 2 4 2" xfId="19778" xr:uid="{00000000-0005-0000-0000-0000424D0000}"/>
    <cellStyle name="Normal 233 2 4 2 2" xfId="19779" xr:uid="{00000000-0005-0000-0000-0000434D0000}"/>
    <cellStyle name="Normal 233 2 4 3" xfId="19780" xr:uid="{00000000-0005-0000-0000-0000444D0000}"/>
    <cellStyle name="Normal 233 2 5" xfId="19781" xr:uid="{00000000-0005-0000-0000-0000454D0000}"/>
    <cellStyle name="Normal 233 2 5 2" xfId="19782" xr:uid="{00000000-0005-0000-0000-0000464D0000}"/>
    <cellStyle name="Normal 233 2 5 2 2" xfId="19783" xr:uid="{00000000-0005-0000-0000-0000474D0000}"/>
    <cellStyle name="Normal 233 2 5 3" xfId="19784" xr:uid="{00000000-0005-0000-0000-0000484D0000}"/>
    <cellStyle name="Normal 233 2 6" xfId="19785" xr:uid="{00000000-0005-0000-0000-0000494D0000}"/>
    <cellStyle name="Normal 233 2 6 2" xfId="19786" xr:uid="{00000000-0005-0000-0000-00004A4D0000}"/>
    <cellStyle name="Normal 233 2 6 2 2" xfId="19787" xr:uid="{00000000-0005-0000-0000-00004B4D0000}"/>
    <cellStyle name="Normal 233 2 6 3" xfId="19788" xr:uid="{00000000-0005-0000-0000-00004C4D0000}"/>
    <cellStyle name="Normal 233 2 7" xfId="19789" xr:uid="{00000000-0005-0000-0000-00004D4D0000}"/>
    <cellStyle name="Normal 233 3" xfId="19790" xr:uid="{00000000-0005-0000-0000-00004E4D0000}"/>
    <cellStyle name="Normal 233 3 2" xfId="19791" xr:uid="{00000000-0005-0000-0000-00004F4D0000}"/>
    <cellStyle name="Normal 233 3 2 2" xfId="19792" xr:uid="{00000000-0005-0000-0000-0000504D0000}"/>
    <cellStyle name="Normal 233 3 3" xfId="19793" xr:uid="{00000000-0005-0000-0000-0000514D0000}"/>
    <cellStyle name="Normal 233 3 3 2" xfId="19794" xr:uid="{00000000-0005-0000-0000-0000524D0000}"/>
    <cellStyle name="Normal 233 3 3 2 2" xfId="19795" xr:uid="{00000000-0005-0000-0000-0000534D0000}"/>
    <cellStyle name="Normal 233 3 3 3" xfId="19796" xr:uid="{00000000-0005-0000-0000-0000544D0000}"/>
    <cellStyle name="Normal 233 3 4" xfId="19797" xr:uid="{00000000-0005-0000-0000-0000554D0000}"/>
    <cellStyle name="Normal 233 3 4 2" xfId="19798" xr:uid="{00000000-0005-0000-0000-0000564D0000}"/>
    <cellStyle name="Normal 233 3 4 2 2" xfId="19799" xr:uid="{00000000-0005-0000-0000-0000574D0000}"/>
    <cellStyle name="Normal 233 3 4 3" xfId="19800" xr:uid="{00000000-0005-0000-0000-0000584D0000}"/>
    <cellStyle name="Normal 233 3 5" xfId="19801" xr:uid="{00000000-0005-0000-0000-0000594D0000}"/>
    <cellStyle name="Normal 233 4" xfId="19802" xr:uid="{00000000-0005-0000-0000-00005A4D0000}"/>
    <cellStyle name="Normal 233 4 2" xfId="19803" xr:uid="{00000000-0005-0000-0000-00005B4D0000}"/>
    <cellStyle name="Normal 233 4 2 2" xfId="19804" xr:uid="{00000000-0005-0000-0000-00005C4D0000}"/>
    <cellStyle name="Normal 233 4 2 2 2" xfId="19805" xr:uid="{00000000-0005-0000-0000-00005D4D0000}"/>
    <cellStyle name="Normal 233 4 2 3" xfId="19806" xr:uid="{00000000-0005-0000-0000-00005E4D0000}"/>
    <cellStyle name="Normal 233 4 2 3 2" xfId="19807" xr:uid="{00000000-0005-0000-0000-00005F4D0000}"/>
    <cellStyle name="Normal 233 4 2 3 2 2" xfId="19808" xr:uid="{00000000-0005-0000-0000-0000604D0000}"/>
    <cellStyle name="Normal 233 4 2 3 3" xfId="19809" xr:uid="{00000000-0005-0000-0000-0000614D0000}"/>
    <cellStyle name="Normal 233 4 2 4" xfId="19810" xr:uid="{00000000-0005-0000-0000-0000624D0000}"/>
    <cellStyle name="Normal 233 4 3" xfId="19811" xr:uid="{00000000-0005-0000-0000-0000634D0000}"/>
    <cellStyle name="Normal 233 4 3 2" xfId="19812" xr:uid="{00000000-0005-0000-0000-0000644D0000}"/>
    <cellStyle name="Normal 233 4 3 2 2" xfId="19813" xr:uid="{00000000-0005-0000-0000-0000654D0000}"/>
    <cellStyle name="Normal 233 4 3 3" xfId="19814" xr:uid="{00000000-0005-0000-0000-0000664D0000}"/>
    <cellStyle name="Normal 233 4 4" xfId="19815" xr:uid="{00000000-0005-0000-0000-0000674D0000}"/>
    <cellStyle name="Normal 233 4 4 2" xfId="19816" xr:uid="{00000000-0005-0000-0000-0000684D0000}"/>
    <cellStyle name="Normal 233 4 4 2 2" xfId="19817" xr:uid="{00000000-0005-0000-0000-0000694D0000}"/>
    <cellStyle name="Normal 233 4 4 3" xfId="19818" xr:uid="{00000000-0005-0000-0000-00006A4D0000}"/>
    <cellStyle name="Normal 233 4 5" xfId="19819" xr:uid="{00000000-0005-0000-0000-00006B4D0000}"/>
    <cellStyle name="Normal 233 4 5 2" xfId="19820" xr:uid="{00000000-0005-0000-0000-00006C4D0000}"/>
    <cellStyle name="Normal 233 4 5 2 2" xfId="19821" xr:uid="{00000000-0005-0000-0000-00006D4D0000}"/>
    <cellStyle name="Normal 233 4 5 3" xfId="19822" xr:uid="{00000000-0005-0000-0000-00006E4D0000}"/>
    <cellStyle name="Normal 233 4 6" xfId="19823" xr:uid="{00000000-0005-0000-0000-00006F4D0000}"/>
    <cellStyle name="Normal 233 5" xfId="19824" xr:uid="{00000000-0005-0000-0000-0000704D0000}"/>
    <cellStyle name="Normal 233 5 2" xfId="19825" xr:uid="{00000000-0005-0000-0000-0000714D0000}"/>
    <cellStyle name="Normal 233 5 2 2" xfId="19826" xr:uid="{00000000-0005-0000-0000-0000724D0000}"/>
    <cellStyle name="Normal 233 5 3" xfId="19827" xr:uid="{00000000-0005-0000-0000-0000734D0000}"/>
    <cellStyle name="Normal 233 6" xfId="19828" xr:uid="{00000000-0005-0000-0000-0000744D0000}"/>
    <cellStyle name="Normal 233 6 2" xfId="19829" xr:uid="{00000000-0005-0000-0000-0000754D0000}"/>
    <cellStyle name="Normal 233 6 2 2" xfId="19830" xr:uid="{00000000-0005-0000-0000-0000764D0000}"/>
    <cellStyle name="Normal 233 6 3" xfId="19831" xr:uid="{00000000-0005-0000-0000-0000774D0000}"/>
    <cellStyle name="Normal 233 7" xfId="19832" xr:uid="{00000000-0005-0000-0000-0000784D0000}"/>
    <cellStyle name="Normal 233 7 2" xfId="19833" xr:uid="{00000000-0005-0000-0000-0000794D0000}"/>
    <cellStyle name="Normal 233 7 2 2" xfId="19834" xr:uid="{00000000-0005-0000-0000-00007A4D0000}"/>
    <cellStyle name="Normal 233 7 3" xfId="19835" xr:uid="{00000000-0005-0000-0000-00007B4D0000}"/>
    <cellStyle name="Normal 233 8" xfId="19836" xr:uid="{00000000-0005-0000-0000-00007C4D0000}"/>
    <cellStyle name="Normal 234" xfId="19837" xr:uid="{00000000-0005-0000-0000-00007D4D0000}"/>
    <cellStyle name="Normal 234 2" xfId="19838" xr:uid="{00000000-0005-0000-0000-00007E4D0000}"/>
    <cellStyle name="Normal 234 2 2" xfId="19839" xr:uid="{00000000-0005-0000-0000-00007F4D0000}"/>
    <cellStyle name="Normal 234 2 2 2" xfId="19840" xr:uid="{00000000-0005-0000-0000-0000804D0000}"/>
    <cellStyle name="Normal 234 2 2 2 2" xfId="19841" xr:uid="{00000000-0005-0000-0000-0000814D0000}"/>
    <cellStyle name="Normal 234 2 2 3" xfId="19842" xr:uid="{00000000-0005-0000-0000-0000824D0000}"/>
    <cellStyle name="Normal 234 2 2 3 2" xfId="19843" xr:uid="{00000000-0005-0000-0000-0000834D0000}"/>
    <cellStyle name="Normal 234 2 2 3 2 2" xfId="19844" xr:uid="{00000000-0005-0000-0000-0000844D0000}"/>
    <cellStyle name="Normal 234 2 2 3 3" xfId="19845" xr:uid="{00000000-0005-0000-0000-0000854D0000}"/>
    <cellStyle name="Normal 234 2 2 4" xfId="19846" xr:uid="{00000000-0005-0000-0000-0000864D0000}"/>
    <cellStyle name="Normal 234 2 2 4 2" xfId="19847" xr:uid="{00000000-0005-0000-0000-0000874D0000}"/>
    <cellStyle name="Normal 234 2 2 4 2 2" xfId="19848" xr:uid="{00000000-0005-0000-0000-0000884D0000}"/>
    <cellStyle name="Normal 234 2 2 4 3" xfId="19849" xr:uid="{00000000-0005-0000-0000-0000894D0000}"/>
    <cellStyle name="Normal 234 2 2 5" xfId="19850" xr:uid="{00000000-0005-0000-0000-00008A4D0000}"/>
    <cellStyle name="Normal 234 2 3" xfId="19851" xr:uid="{00000000-0005-0000-0000-00008B4D0000}"/>
    <cellStyle name="Normal 234 2 3 2" xfId="19852" xr:uid="{00000000-0005-0000-0000-00008C4D0000}"/>
    <cellStyle name="Normal 234 2 3 2 2" xfId="19853" xr:uid="{00000000-0005-0000-0000-00008D4D0000}"/>
    <cellStyle name="Normal 234 2 3 2 2 2" xfId="19854" xr:uid="{00000000-0005-0000-0000-00008E4D0000}"/>
    <cellStyle name="Normal 234 2 3 2 3" xfId="19855" xr:uid="{00000000-0005-0000-0000-00008F4D0000}"/>
    <cellStyle name="Normal 234 2 3 2 3 2" xfId="19856" xr:uid="{00000000-0005-0000-0000-0000904D0000}"/>
    <cellStyle name="Normal 234 2 3 2 3 2 2" xfId="19857" xr:uid="{00000000-0005-0000-0000-0000914D0000}"/>
    <cellStyle name="Normal 234 2 3 2 3 3" xfId="19858" xr:uid="{00000000-0005-0000-0000-0000924D0000}"/>
    <cellStyle name="Normal 234 2 3 2 4" xfId="19859" xr:uid="{00000000-0005-0000-0000-0000934D0000}"/>
    <cellStyle name="Normal 234 2 3 3" xfId="19860" xr:uid="{00000000-0005-0000-0000-0000944D0000}"/>
    <cellStyle name="Normal 234 2 3 3 2" xfId="19861" xr:uid="{00000000-0005-0000-0000-0000954D0000}"/>
    <cellStyle name="Normal 234 2 3 3 2 2" xfId="19862" xr:uid="{00000000-0005-0000-0000-0000964D0000}"/>
    <cellStyle name="Normal 234 2 3 3 3" xfId="19863" xr:uid="{00000000-0005-0000-0000-0000974D0000}"/>
    <cellStyle name="Normal 234 2 3 4" xfId="19864" xr:uid="{00000000-0005-0000-0000-0000984D0000}"/>
    <cellStyle name="Normal 234 2 3 4 2" xfId="19865" xr:uid="{00000000-0005-0000-0000-0000994D0000}"/>
    <cellStyle name="Normal 234 2 3 4 2 2" xfId="19866" xr:uid="{00000000-0005-0000-0000-00009A4D0000}"/>
    <cellStyle name="Normal 234 2 3 4 3" xfId="19867" xr:uid="{00000000-0005-0000-0000-00009B4D0000}"/>
    <cellStyle name="Normal 234 2 3 5" xfId="19868" xr:uid="{00000000-0005-0000-0000-00009C4D0000}"/>
    <cellStyle name="Normal 234 2 3 5 2" xfId="19869" xr:uid="{00000000-0005-0000-0000-00009D4D0000}"/>
    <cellStyle name="Normal 234 2 3 5 2 2" xfId="19870" xr:uid="{00000000-0005-0000-0000-00009E4D0000}"/>
    <cellStyle name="Normal 234 2 3 5 3" xfId="19871" xr:uid="{00000000-0005-0000-0000-00009F4D0000}"/>
    <cellStyle name="Normal 234 2 3 6" xfId="19872" xr:uid="{00000000-0005-0000-0000-0000A04D0000}"/>
    <cellStyle name="Normal 234 2 4" xfId="19873" xr:uid="{00000000-0005-0000-0000-0000A14D0000}"/>
    <cellStyle name="Normal 234 2 4 2" xfId="19874" xr:uid="{00000000-0005-0000-0000-0000A24D0000}"/>
    <cellStyle name="Normal 234 2 4 2 2" xfId="19875" xr:uid="{00000000-0005-0000-0000-0000A34D0000}"/>
    <cellStyle name="Normal 234 2 4 3" xfId="19876" xr:uid="{00000000-0005-0000-0000-0000A44D0000}"/>
    <cellStyle name="Normal 234 2 5" xfId="19877" xr:uid="{00000000-0005-0000-0000-0000A54D0000}"/>
    <cellStyle name="Normal 234 2 5 2" xfId="19878" xr:uid="{00000000-0005-0000-0000-0000A64D0000}"/>
    <cellStyle name="Normal 234 2 5 2 2" xfId="19879" xr:uid="{00000000-0005-0000-0000-0000A74D0000}"/>
    <cellStyle name="Normal 234 2 5 3" xfId="19880" xr:uid="{00000000-0005-0000-0000-0000A84D0000}"/>
    <cellStyle name="Normal 234 2 6" xfId="19881" xr:uid="{00000000-0005-0000-0000-0000A94D0000}"/>
    <cellStyle name="Normal 234 2 6 2" xfId="19882" xr:uid="{00000000-0005-0000-0000-0000AA4D0000}"/>
    <cellStyle name="Normal 234 2 6 2 2" xfId="19883" xr:uid="{00000000-0005-0000-0000-0000AB4D0000}"/>
    <cellStyle name="Normal 234 2 6 3" xfId="19884" xr:uid="{00000000-0005-0000-0000-0000AC4D0000}"/>
    <cellStyle name="Normal 234 2 7" xfId="19885" xr:uid="{00000000-0005-0000-0000-0000AD4D0000}"/>
    <cellStyle name="Normal 234 3" xfId="19886" xr:uid="{00000000-0005-0000-0000-0000AE4D0000}"/>
    <cellStyle name="Normal 234 3 2" xfId="19887" xr:uid="{00000000-0005-0000-0000-0000AF4D0000}"/>
    <cellStyle name="Normal 234 3 2 2" xfId="19888" xr:uid="{00000000-0005-0000-0000-0000B04D0000}"/>
    <cellStyle name="Normal 234 3 3" xfId="19889" xr:uid="{00000000-0005-0000-0000-0000B14D0000}"/>
    <cellStyle name="Normal 234 3 3 2" xfId="19890" xr:uid="{00000000-0005-0000-0000-0000B24D0000}"/>
    <cellStyle name="Normal 234 3 3 2 2" xfId="19891" xr:uid="{00000000-0005-0000-0000-0000B34D0000}"/>
    <cellStyle name="Normal 234 3 3 3" xfId="19892" xr:uid="{00000000-0005-0000-0000-0000B44D0000}"/>
    <cellStyle name="Normal 234 3 4" xfId="19893" xr:uid="{00000000-0005-0000-0000-0000B54D0000}"/>
    <cellStyle name="Normal 234 3 4 2" xfId="19894" xr:uid="{00000000-0005-0000-0000-0000B64D0000}"/>
    <cellStyle name="Normal 234 3 4 2 2" xfId="19895" xr:uid="{00000000-0005-0000-0000-0000B74D0000}"/>
    <cellStyle name="Normal 234 3 4 3" xfId="19896" xr:uid="{00000000-0005-0000-0000-0000B84D0000}"/>
    <cellStyle name="Normal 234 3 5" xfId="19897" xr:uid="{00000000-0005-0000-0000-0000B94D0000}"/>
    <cellStyle name="Normal 234 4" xfId="19898" xr:uid="{00000000-0005-0000-0000-0000BA4D0000}"/>
    <cellStyle name="Normal 234 4 2" xfId="19899" xr:uid="{00000000-0005-0000-0000-0000BB4D0000}"/>
    <cellStyle name="Normal 234 4 2 2" xfId="19900" xr:uid="{00000000-0005-0000-0000-0000BC4D0000}"/>
    <cellStyle name="Normal 234 4 2 2 2" xfId="19901" xr:uid="{00000000-0005-0000-0000-0000BD4D0000}"/>
    <cellStyle name="Normal 234 4 2 3" xfId="19902" xr:uid="{00000000-0005-0000-0000-0000BE4D0000}"/>
    <cellStyle name="Normal 234 4 2 3 2" xfId="19903" xr:uid="{00000000-0005-0000-0000-0000BF4D0000}"/>
    <cellStyle name="Normal 234 4 2 3 2 2" xfId="19904" xr:uid="{00000000-0005-0000-0000-0000C04D0000}"/>
    <cellStyle name="Normal 234 4 2 3 3" xfId="19905" xr:uid="{00000000-0005-0000-0000-0000C14D0000}"/>
    <cellStyle name="Normal 234 4 2 4" xfId="19906" xr:uid="{00000000-0005-0000-0000-0000C24D0000}"/>
    <cellStyle name="Normal 234 4 3" xfId="19907" xr:uid="{00000000-0005-0000-0000-0000C34D0000}"/>
    <cellStyle name="Normal 234 4 3 2" xfId="19908" xr:uid="{00000000-0005-0000-0000-0000C44D0000}"/>
    <cellStyle name="Normal 234 4 3 2 2" xfId="19909" xr:uid="{00000000-0005-0000-0000-0000C54D0000}"/>
    <cellStyle name="Normal 234 4 3 3" xfId="19910" xr:uid="{00000000-0005-0000-0000-0000C64D0000}"/>
    <cellStyle name="Normal 234 4 4" xfId="19911" xr:uid="{00000000-0005-0000-0000-0000C74D0000}"/>
    <cellStyle name="Normal 234 4 4 2" xfId="19912" xr:uid="{00000000-0005-0000-0000-0000C84D0000}"/>
    <cellStyle name="Normal 234 4 4 2 2" xfId="19913" xr:uid="{00000000-0005-0000-0000-0000C94D0000}"/>
    <cellStyle name="Normal 234 4 4 3" xfId="19914" xr:uid="{00000000-0005-0000-0000-0000CA4D0000}"/>
    <cellStyle name="Normal 234 4 5" xfId="19915" xr:uid="{00000000-0005-0000-0000-0000CB4D0000}"/>
    <cellStyle name="Normal 234 4 5 2" xfId="19916" xr:uid="{00000000-0005-0000-0000-0000CC4D0000}"/>
    <cellStyle name="Normal 234 4 5 2 2" xfId="19917" xr:uid="{00000000-0005-0000-0000-0000CD4D0000}"/>
    <cellStyle name="Normal 234 4 5 3" xfId="19918" xr:uid="{00000000-0005-0000-0000-0000CE4D0000}"/>
    <cellStyle name="Normal 234 4 6" xfId="19919" xr:uid="{00000000-0005-0000-0000-0000CF4D0000}"/>
    <cellStyle name="Normal 234 5" xfId="19920" xr:uid="{00000000-0005-0000-0000-0000D04D0000}"/>
    <cellStyle name="Normal 234 5 2" xfId="19921" xr:uid="{00000000-0005-0000-0000-0000D14D0000}"/>
    <cellStyle name="Normal 234 5 2 2" xfId="19922" xr:uid="{00000000-0005-0000-0000-0000D24D0000}"/>
    <cellStyle name="Normal 234 5 3" xfId="19923" xr:uid="{00000000-0005-0000-0000-0000D34D0000}"/>
    <cellStyle name="Normal 234 6" xfId="19924" xr:uid="{00000000-0005-0000-0000-0000D44D0000}"/>
    <cellStyle name="Normal 234 6 2" xfId="19925" xr:uid="{00000000-0005-0000-0000-0000D54D0000}"/>
    <cellStyle name="Normal 234 6 2 2" xfId="19926" xr:uid="{00000000-0005-0000-0000-0000D64D0000}"/>
    <cellStyle name="Normal 234 6 3" xfId="19927" xr:uid="{00000000-0005-0000-0000-0000D74D0000}"/>
    <cellStyle name="Normal 234 7" xfId="19928" xr:uid="{00000000-0005-0000-0000-0000D84D0000}"/>
    <cellStyle name="Normal 234 7 2" xfId="19929" xr:uid="{00000000-0005-0000-0000-0000D94D0000}"/>
    <cellStyle name="Normal 234 7 2 2" xfId="19930" xr:uid="{00000000-0005-0000-0000-0000DA4D0000}"/>
    <cellStyle name="Normal 234 7 3" xfId="19931" xr:uid="{00000000-0005-0000-0000-0000DB4D0000}"/>
    <cellStyle name="Normal 234 8" xfId="19932" xr:uid="{00000000-0005-0000-0000-0000DC4D0000}"/>
    <cellStyle name="Normal 235" xfId="19933" xr:uid="{00000000-0005-0000-0000-0000DD4D0000}"/>
    <cellStyle name="Normal 235 2" xfId="19934" xr:uid="{00000000-0005-0000-0000-0000DE4D0000}"/>
    <cellStyle name="Normal 235 2 2" xfId="19935" xr:uid="{00000000-0005-0000-0000-0000DF4D0000}"/>
    <cellStyle name="Normal 235 2 2 2" xfId="19936" xr:uid="{00000000-0005-0000-0000-0000E04D0000}"/>
    <cellStyle name="Normal 235 2 2 2 2" xfId="19937" xr:uid="{00000000-0005-0000-0000-0000E14D0000}"/>
    <cellStyle name="Normal 235 2 2 3" xfId="19938" xr:uid="{00000000-0005-0000-0000-0000E24D0000}"/>
    <cellStyle name="Normal 235 2 2 3 2" xfId="19939" xr:uid="{00000000-0005-0000-0000-0000E34D0000}"/>
    <cellStyle name="Normal 235 2 2 3 2 2" xfId="19940" xr:uid="{00000000-0005-0000-0000-0000E44D0000}"/>
    <cellStyle name="Normal 235 2 2 3 3" xfId="19941" xr:uid="{00000000-0005-0000-0000-0000E54D0000}"/>
    <cellStyle name="Normal 235 2 2 4" xfId="19942" xr:uid="{00000000-0005-0000-0000-0000E64D0000}"/>
    <cellStyle name="Normal 235 2 2 4 2" xfId="19943" xr:uid="{00000000-0005-0000-0000-0000E74D0000}"/>
    <cellStyle name="Normal 235 2 2 4 2 2" xfId="19944" xr:uid="{00000000-0005-0000-0000-0000E84D0000}"/>
    <cellStyle name="Normal 235 2 2 4 3" xfId="19945" xr:uid="{00000000-0005-0000-0000-0000E94D0000}"/>
    <cellStyle name="Normal 235 2 2 5" xfId="19946" xr:uid="{00000000-0005-0000-0000-0000EA4D0000}"/>
    <cellStyle name="Normal 235 2 3" xfId="19947" xr:uid="{00000000-0005-0000-0000-0000EB4D0000}"/>
    <cellStyle name="Normal 235 2 3 2" xfId="19948" xr:uid="{00000000-0005-0000-0000-0000EC4D0000}"/>
    <cellStyle name="Normal 235 2 3 2 2" xfId="19949" xr:uid="{00000000-0005-0000-0000-0000ED4D0000}"/>
    <cellStyle name="Normal 235 2 3 2 2 2" xfId="19950" xr:uid="{00000000-0005-0000-0000-0000EE4D0000}"/>
    <cellStyle name="Normal 235 2 3 2 3" xfId="19951" xr:uid="{00000000-0005-0000-0000-0000EF4D0000}"/>
    <cellStyle name="Normal 235 2 3 2 3 2" xfId="19952" xr:uid="{00000000-0005-0000-0000-0000F04D0000}"/>
    <cellStyle name="Normal 235 2 3 2 3 2 2" xfId="19953" xr:uid="{00000000-0005-0000-0000-0000F14D0000}"/>
    <cellStyle name="Normal 235 2 3 2 3 3" xfId="19954" xr:uid="{00000000-0005-0000-0000-0000F24D0000}"/>
    <cellStyle name="Normal 235 2 3 2 4" xfId="19955" xr:uid="{00000000-0005-0000-0000-0000F34D0000}"/>
    <cellStyle name="Normal 235 2 3 3" xfId="19956" xr:uid="{00000000-0005-0000-0000-0000F44D0000}"/>
    <cellStyle name="Normal 235 2 3 3 2" xfId="19957" xr:uid="{00000000-0005-0000-0000-0000F54D0000}"/>
    <cellStyle name="Normal 235 2 3 3 2 2" xfId="19958" xr:uid="{00000000-0005-0000-0000-0000F64D0000}"/>
    <cellStyle name="Normal 235 2 3 3 3" xfId="19959" xr:uid="{00000000-0005-0000-0000-0000F74D0000}"/>
    <cellStyle name="Normal 235 2 3 4" xfId="19960" xr:uid="{00000000-0005-0000-0000-0000F84D0000}"/>
    <cellStyle name="Normal 235 2 3 4 2" xfId="19961" xr:uid="{00000000-0005-0000-0000-0000F94D0000}"/>
    <cellStyle name="Normal 235 2 3 4 2 2" xfId="19962" xr:uid="{00000000-0005-0000-0000-0000FA4D0000}"/>
    <cellStyle name="Normal 235 2 3 4 3" xfId="19963" xr:uid="{00000000-0005-0000-0000-0000FB4D0000}"/>
    <cellStyle name="Normal 235 2 3 5" xfId="19964" xr:uid="{00000000-0005-0000-0000-0000FC4D0000}"/>
    <cellStyle name="Normal 235 2 3 5 2" xfId="19965" xr:uid="{00000000-0005-0000-0000-0000FD4D0000}"/>
    <cellStyle name="Normal 235 2 3 5 2 2" xfId="19966" xr:uid="{00000000-0005-0000-0000-0000FE4D0000}"/>
    <cellStyle name="Normal 235 2 3 5 3" xfId="19967" xr:uid="{00000000-0005-0000-0000-0000FF4D0000}"/>
    <cellStyle name="Normal 235 2 3 6" xfId="19968" xr:uid="{00000000-0005-0000-0000-0000004E0000}"/>
    <cellStyle name="Normal 235 2 4" xfId="19969" xr:uid="{00000000-0005-0000-0000-0000014E0000}"/>
    <cellStyle name="Normal 235 2 4 2" xfId="19970" xr:uid="{00000000-0005-0000-0000-0000024E0000}"/>
    <cellStyle name="Normal 235 2 4 2 2" xfId="19971" xr:uid="{00000000-0005-0000-0000-0000034E0000}"/>
    <cellStyle name="Normal 235 2 4 3" xfId="19972" xr:uid="{00000000-0005-0000-0000-0000044E0000}"/>
    <cellStyle name="Normal 235 2 5" xfId="19973" xr:uid="{00000000-0005-0000-0000-0000054E0000}"/>
    <cellStyle name="Normal 235 2 5 2" xfId="19974" xr:uid="{00000000-0005-0000-0000-0000064E0000}"/>
    <cellStyle name="Normal 235 2 5 2 2" xfId="19975" xr:uid="{00000000-0005-0000-0000-0000074E0000}"/>
    <cellStyle name="Normal 235 2 5 3" xfId="19976" xr:uid="{00000000-0005-0000-0000-0000084E0000}"/>
    <cellStyle name="Normal 235 2 6" xfId="19977" xr:uid="{00000000-0005-0000-0000-0000094E0000}"/>
    <cellStyle name="Normal 235 2 6 2" xfId="19978" xr:uid="{00000000-0005-0000-0000-00000A4E0000}"/>
    <cellStyle name="Normal 235 2 6 2 2" xfId="19979" xr:uid="{00000000-0005-0000-0000-00000B4E0000}"/>
    <cellStyle name="Normal 235 2 6 3" xfId="19980" xr:uid="{00000000-0005-0000-0000-00000C4E0000}"/>
    <cellStyle name="Normal 235 2 7" xfId="19981" xr:uid="{00000000-0005-0000-0000-00000D4E0000}"/>
    <cellStyle name="Normal 235 3" xfId="19982" xr:uid="{00000000-0005-0000-0000-00000E4E0000}"/>
    <cellStyle name="Normal 235 3 2" xfId="19983" xr:uid="{00000000-0005-0000-0000-00000F4E0000}"/>
    <cellStyle name="Normal 235 3 2 2" xfId="19984" xr:uid="{00000000-0005-0000-0000-0000104E0000}"/>
    <cellStyle name="Normal 235 3 3" xfId="19985" xr:uid="{00000000-0005-0000-0000-0000114E0000}"/>
    <cellStyle name="Normal 235 3 3 2" xfId="19986" xr:uid="{00000000-0005-0000-0000-0000124E0000}"/>
    <cellStyle name="Normal 235 3 3 2 2" xfId="19987" xr:uid="{00000000-0005-0000-0000-0000134E0000}"/>
    <cellStyle name="Normal 235 3 3 3" xfId="19988" xr:uid="{00000000-0005-0000-0000-0000144E0000}"/>
    <cellStyle name="Normal 235 3 4" xfId="19989" xr:uid="{00000000-0005-0000-0000-0000154E0000}"/>
    <cellStyle name="Normal 235 3 4 2" xfId="19990" xr:uid="{00000000-0005-0000-0000-0000164E0000}"/>
    <cellStyle name="Normal 235 3 4 2 2" xfId="19991" xr:uid="{00000000-0005-0000-0000-0000174E0000}"/>
    <cellStyle name="Normal 235 3 4 3" xfId="19992" xr:uid="{00000000-0005-0000-0000-0000184E0000}"/>
    <cellStyle name="Normal 235 3 5" xfId="19993" xr:uid="{00000000-0005-0000-0000-0000194E0000}"/>
    <cellStyle name="Normal 235 4" xfId="19994" xr:uid="{00000000-0005-0000-0000-00001A4E0000}"/>
    <cellStyle name="Normal 235 4 2" xfId="19995" xr:uid="{00000000-0005-0000-0000-00001B4E0000}"/>
    <cellStyle name="Normal 235 4 2 2" xfId="19996" xr:uid="{00000000-0005-0000-0000-00001C4E0000}"/>
    <cellStyle name="Normal 235 4 2 2 2" xfId="19997" xr:uid="{00000000-0005-0000-0000-00001D4E0000}"/>
    <cellStyle name="Normal 235 4 2 3" xfId="19998" xr:uid="{00000000-0005-0000-0000-00001E4E0000}"/>
    <cellStyle name="Normal 235 4 2 3 2" xfId="19999" xr:uid="{00000000-0005-0000-0000-00001F4E0000}"/>
    <cellStyle name="Normal 235 4 2 3 2 2" xfId="20000" xr:uid="{00000000-0005-0000-0000-0000204E0000}"/>
    <cellStyle name="Normal 235 4 2 3 3" xfId="20001" xr:uid="{00000000-0005-0000-0000-0000214E0000}"/>
    <cellStyle name="Normal 235 4 2 4" xfId="20002" xr:uid="{00000000-0005-0000-0000-0000224E0000}"/>
    <cellStyle name="Normal 235 4 3" xfId="20003" xr:uid="{00000000-0005-0000-0000-0000234E0000}"/>
    <cellStyle name="Normal 235 4 3 2" xfId="20004" xr:uid="{00000000-0005-0000-0000-0000244E0000}"/>
    <cellStyle name="Normal 235 4 3 2 2" xfId="20005" xr:uid="{00000000-0005-0000-0000-0000254E0000}"/>
    <cellStyle name="Normal 235 4 3 3" xfId="20006" xr:uid="{00000000-0005-0000-0000-0000264E0000}"/>
    <cellStyle name="Normal 235 4 4" xfId="20007" xr:uid="{00000000-0005-0000-0000-0000274E0000}"/>
    <cellStyle name="Normal 235 4 4 2" xfId="20008" xr:uid="{00000000-0005-0000-0000-0000284E0000}"/>
    <cellStyle name="Normal 235 4 4 2 2" xfId="20009" xr:uid="{00000000-0005-0000-0000-0000294E0000}"/>
    <cellStyle name="Normal 235 4 4 3" xfId="20010" xr:uid="{00000000-0005-0000-0000-00002A4E0000}"/>
    <cellStyle name="Normal 235 4 5" xfId="20011" xr:uid="{00000000-0005-0000-0000-00002B4E0000}"/>
    <cellStyle name="Normal 235 4 5 2" xfId="20012" xr:uid="{00000000-0005-0000-0000-00002C4E0000}"/>
    <cellStyle name="Normal 235 4 5 2 2" xfId="20013" xr:uid="{00000000-0005-0000-0000-00002D4E0000}"/>
    <cellStyle name="Normal 235 4 5 3" xfId="20014" xr:uid="{00000000-0005-0000-0000-00002E4E0000}"/>
    <cellStyle name="Normal 235 4 6" xfId="20015" xr:uid="{00000000-0005-0000-0000-00002F4E0000}"/>
    <cellStyle name="Normal 235 5" xfId="20016" xr:uid="{00000000-0005-0000-0000-0000304E0000}"/>
    <cellStyle name="Normal 235 5 2" xfId="20017" xr:uid="{00000000-0005-0000-0000-0000314E0000}"/>
    <cellStyle name="Normal 235 5 2 2" xfId="20018" xr:uid="{00000000-0005-0000-0000-0000324E0000}"/>
    <cellStyle name="Normal 235 5 3" xfId="20019" xr:uid="{00000000-0005-0000-0000-0000334E0000}"/>
    <cellStyle name="Normal 235 6" xfId="20020" xr:uid="{00000000-0005-0000-0000-0000344E0000}"/>
    <cellStyle name="Normal 235 6 2" xfId="20021" xr:uid="{00000000-0005-0000-0000-0000354E0000}"/>
    <cellStyle name="Normal 235 6 2 2" xfId="20022" xr:uid="{00000000-0005-0000-0000-0000364E0000}"/>
    <cellStyle name="Normal 235 6 3" xfId="20023" xr:uid="{00000000-0005-0000-0000-0000374E0000}"/>
    <cellStyle name="Normal 235 7" xfId="20024" xr:uid="{00000000-0005-0000-0000-0000384E0000}"/>
    <cellStyle name="Normal 235 7 2" xfId="20025" xr:uid="{00000000-0005-0000-0000-0000394E0000}"/>
    <cellStyle name="Normal 235 7 2 2" xfId="20026" xr:uid="{00000000-0005-0000-0000-00003A4E0000}"/>
    <cellStyle name="Normal 235 7 3" xfId="20027" xr:uid="{00000000-0005-0000-0000-00003B4E0000}"/>
    <cellStyle name="Normal 235 8" xfId="20028" xr:uid="{00000000-0005-0000-0000-00003C4E0000}"/>
    <cellStyle name="Normal 236" xfId="20029" xr:uid="{00000000-0005-0000-0000-00003D4E0000}"/>
    <cellStyle name="Normal 236 2" xfId="20030" xr:uid="{00000000-0005-0000-0000-00003E4E0000}"/>
    <cellStyle name="Normal 236 2 2" xfId="20031" xr:uid="{00000000-0005-0000-0000-00003F4E0000}"/>
    <cellStyle name="Normal 236 2 2 2" xfId="20032" xr:uid="{00000000-0005-0000-0000-0000404E0000}"/>
    <cellStyle name="Normal 236 2 2 2 2" xfId="20033" xr:uid="{00000000-0005-0000-0000-0000414E0000}"/>
    <cellStyle name="Normal 236 2 2 3" xfId="20034" xr:uid="{00000000-0005-0000-0000-0000424E0000}"/>
    <cellStyle name="Normal 236 2 2 3 2" xfId="20035" xr:uid="{00000000-0005-0000-0000-0000434E0000}"/>
    <cellStyle name="Normal 236 2 2 3 2 2" xfId="20036" xr:uid="{00000000-0005-0000-0000-0000444E0000}"/>
    <cellStyle name="Normal 236 2 2 3 3" xfId="20037" xr:uid="{00000000-0005-0000-0000-0000454E0000}"/>
    <cellStyle name="Normal 236 2 2 4" xfId="20038" xr:uid="{00000000-0005-0000-0000-0000464E0000}"/>
    <cellStyle name="Normal 236 2 2 4 2" xfId="20039" xr:uid="{00000000-0005-0000-0000-0000474E0000}"/>
    <cellStyle name="Normal 236 2 2 4 2 2" xfId="20040" xr:uid="{00000000-0005-0000-0000-0000484E0000}"/>
    <cellStyle name="Normal 236 2 2 4 3" xfId="20041" xr:uid="{00000000-0005-0000-0000-0000494E0000}"/>
    <cellStyle name="Normal 236 2 2 5" xfId="20042" xr:uid="{00000000-0005-0000-0000-00004A4E0000}"/>
    <cellStyle name="Normal 236 2 3" xfId="20043" xr:uid="{00000000-0005-0000-0000-00004B4E0000}"/>
    <cellStyle name="Normal 236 2 3 2" xfId="20044" xr:uid="{00000000-0005-0000-0000-00004C4E0000}"/>
    <cellStyle name="Normal 236 2 3 2 2" xfId="20045" xr:uid="{00000000-0005-0000-0000-00004D4E0000}"/>
    <cellStyle name="Normal 236 2 3 2 2 2" xfId="20046" xr:uid="{00000000-0005-0000-0000-00004E4E0000}"/>
    <cellStyle name="Normal 236 2 3 2 3" xfId="20047" xr:uid="{00000000-0005-0000-0000-00004F4E0000}"/>
    <cellStyle name="Normal 236 2 3 2 3 2" xfId="20048" xr:uid="{00000000-0005-0000-0000-0000504E0000}"/>
    <cellStyle name="Normal 236 2 3 2 3 2 2" xfId="20049" xr:uid="{00000000-0005-0000-0000-0000514E0000}"/>
    <cellStyle name="Normal 236 2 3 2 3 3" xfId="20050" xr:uid="{00000000-0005-0000-0000-0000524E0000}"/>
    <cellStyle name="Normal 236 2 3 2 4" xfId="20051" xr:uid="{00000000-0005-0000-0000-0000534E0000}"/>
    <cellStyle name="Normal 236 2 3 3" xfId="20052" xr:uid="{00000000-0005-0000-0000-0000544E0000}"/>
    <cellStyle name="Normal 236 2 3 3 2" xfId="20053" xr:uid="{00000000-0005-0000-0000-0000554E0000}"/>
    <cellStyle name="Normal 236 2 3 3 2 2" xfId="20054" xr:uid="{00000000-0005-0000-0000-0000564E0000}"/>
    <cellStyle name="Normal 236 2 3 3 3" xfId="20055" xr:uid="{00000000-0005-0000-0000-0000574E0000}"/>
    <cellStyle name="Normal 236 2 3 4" xfId="20056" xr:uid="{00000000-0005-0000-0000-0000584E0000}"/>
    <cellStyle name="Normal 236 2 3 4 2" xfId="20057" xr:uid="{00000000-0005-0000-0000-0000594E0000}"/>
    <cellStyle name="Normal 236 2 3 4 2 2" xfId="20058" xr:uid="{00000000-0005-0000-0000-00005A4E0000}"/>
    <cellStyle name="Normal 236 2 3 4 3" xfId="20059" xr:uid="{00000000-0005-0000-0000-00005B4E0000}"/>
    <cellStyle name="Normal 236 2 3 5" xfId="20060" xr:uid="{00000000-0005-0000-0000-00005C4E0000}"/>
    <cellStyle name="Normal 236 2 3 5 2" xfId="20061" xr:uid="{00000000-0005-0000-0000-00005D4E0000}"/>
    <cellStyle name="Normal 236 2 3 5 2 2" xfId="20062" xr:uid="{00000000-0005-0000-0000-00005E4E0000}"/>
    <cellStyle name="Normal 236 2 3 5 3" xfId="20063" xr:uid="{00000000-0005-0000-0000-00005F4E0000}"/>
    <cellStyle name="Normal 236 2 3 6" xfId="20064" xr:uid="{00000000-0005-0000-0000-0000604E0000}"/>
    <cellStyle name="Normal 236 2 4" xfId="20065" xr:uid="{00000000-0005-0000-0000-0000614E0000}"/>
    <cellStyle name="Normal 236 2 4 2" xfId="20066" xr:uid="{00000000-0005-0000-0000-0000624E0000}"/>
    <cellStyle name="Normal 236 2 4 2 2" xfId="20067" xr:uid="{00000000-0005-0000-0000-0000634E0000}"/>
    <cellStyle name="Normal 236 2 4 3" xfId="20068" xr:uid="{00000000-0005-0000-0000-0000644E0000}"/>
    <cellStyle name="Normal 236 2 5" xfId="20069" xr:uid="{00000000-0005-0000-0000-0000654E0000}"/>
    <cellStyle name="Normal 236 2 5 2" xfId="20070" xr:uid="{00000000-0005-0000-0000-0000664E0000}"/>
    <cellStyle name="Normal 236 2 5 2 2" xfId="20071" xr:uid="{00000000-0005-0000-0000-0000674E0000}"/>
    <cellStyle name="Normal 236 2 5 3" xfId="20072" xr:uid="{00000000-0005-0000-0000-0000684E0000}"/>
    <cellStyle name="Normal 236 2 6" xfId="20073" xr:uid="{00000000-0005-0000-0000-0000694E0000}"/>
    <cellStyle name="Normal 236 2 6 2" xfId="20074" xr:uid="{00000000-0005-0000-0000-00006A4E0000}"/>
    <cellStyle name="Normal 236 2 6 2 2" xfId="20075" xr:uid="{00000000-0005-0000-0000-00006B4E0000}"/>
    <cellStyle name="Normal 236 2 6 3" xfId="20076" xr:uid="{00000000-0005-0000-0000-00006C4E0000}"/>
    <cellStyle name="Normal 236 2 7" xfId="20077" xr:uid="{00000000-0005-0000-0000-00006D4E0000}"/>
    <cellStyle name="Normal 236 3" xfId="20078" xr:uid="{00000000-0005-0000-0000-00006E4E0000}"/>
    <cellStyle name="Normal 236 3 2" xfId="20079" xr:uid="{00000000-0005-0000-0000-00006F4E0000}"/>
    <cellStyle name="Normal 236 3 2 2" xfId="20080" xr:uid="{00000000-0005-0000-0000-0000704E0000}"/>
    <cellStyle name="Normal 236 3 3" xfId="20081" xr:uid="{00000000-0005-0000-0000-0000714E0000}"/>
    <cellStyle name="Normal 236 3 3 2" xfId="20082" xr:uid="{00000000-0005-0000-0000-0000724E0000}"/>
    <cellStyle name="Normal 236 3 3 2 2" xfId="20083" xr:uid="{00000000-0005-0000-0000-0000734E0000}"/>
    <cellStyle name="Normal 236 3 3 3" xfId="20084" xr:uid="{00000000-0005-0000-0000-0000744E0000}"/>
    <cellStyle name="Normal 236 3 4" xfId="20085" xr:uid="{00000000-0005-0000-0000-0000754E0000}"/>
    <cellStyle name="Normal 236 3 4 2" xfId="20086" xr:uid="{00000000-0005-0000-0000-0000764E0000}"/>
    <cellStyle name="Normal 236 3 4 2 2" xfId="20087" xr:uid="{00000000-0005-0000-0000-0000774E0000}"/>
    <cellStyle name="Normal 236 3 4 3" xfId="20088" xr:uid="{00000000-0005-0000-0000-0000784E0000}"/>
    <cellStyle name="Normal 236 3 5" xfId="20089" xr:uid="{00000000-0005-0000-0000-0000794E0000}"/>
    <cellStyle name="Normal 236 4" xfId="20090" xr:uid="{00000000-0005-0000-0000-00007A4E0000}"/>
    <cellStyle name="Normal 236 4 2" xfId="20091" xr:uid="{00000000-0005-0000-0000-00007B4E0000}"/>
    <cellStyle name="Normal 236 4 2 2" xfId="20092" xr:uid="{00000000-0005-0000-0000-00007C4E0000}"/>
    <cellStyle name="Normal 236 4 2 2 2" xfId="20093" xr:uid="{00000000-0005-0000-0000-00007D4E0000}"/>
    <cellStyle name="Normal 236 4 2 3" xfId="20094" xr:uid="{00000000-0005-0000-0000-00007E4E0000}"/>
    <cellStyle name="Normal 236 4 2 3 2" xfId="20095" xr:uid="{00000000-0005-0000-0000-00007F4E0000}"/>
    <cellStyle name="Normal 236 4 2 3 2 2" xfId="20096" xr:uid="{00000000-0005-0000-0000-0000804E0000}"/>
    <cellStyle name="Normal 236 4 2 3 3" xfId="20097" xr:uid="{00000000-0005-0000-0000-0000814E0000}"/>
    <cellStyle name="Normal 236 4 2 4" xfId="20098" xr:uid="{00000000-0005-0000-0000-0000824E0000}"/>
    <cellStyle name="Normal 236 4 3" xfId="20099" xr:uid="{00000000-0005-0000-0000-0000834E0000}"/>
    <cellStyle name="Normal 236 4 3 2" xfId="20100" xr:uid="{00000000-0005-0000-0000-0000844E0000}"/>
    <cellStyle name="Normal 236 4 3 2 2" xfId="20101" xr:uid="{00000000-0005-0000-0000-0000854E0000}"/>
    <cellStyle name="Normal 236 4 3 3" xfId="20102" xr:uid="{00000000-0005-0000-0000-0000864E0000}"/>
    <cellStyle name="Normal 236 4 4" xfId="20103" xr:uid="{00000000-0005-0000-0000-0000874E0000}"/>
    <cellStyle name="Normal 236 4 4 2" xfId="20104" xr:uid="{00000000-0005-0000-0000-0000884E0000}"/>
    <cellStyle name="Normal 236 4 4 2 2" xfId="20105" xr:uid="{00000000-0005-0000-0000-0000894E0000}"/>
    <cellStyle name="Normal 236 4 4 3" xfId="20106" xr:uid="{00000000-0005-0000-0000-00008A4E0000}"/>
    <cellStyle name="Normal 236 4 5" xfId="20107" xr:uid="{00000000-0005-0000-0000-00008B4E0000}"/>
    <cellStyle name="Normal 236 4 5 2" xfId="20108" xr:uid="{00000000-0005-0000-0000-00008C4E0000}"/>
    <cellStyle name="Normal 236 4 5 2 2" xfId="20109" xr:uid="{00000000-0005-0000-0000-00008D4E0000}"/>
    <cellStyle name="Normal 236 4 5 3" xfId="20110" xr:uid="{00000000-0005-0000-0000-00008E4E0000}"/>
    <cellStyle name="Normal 236 4 6" xfId="20111" xr:uid="{00000000-0005-0000-0000-00008F4E0000}"/>
    <cellStyle name="Normal 236 5" xfId="20112" xr:uid="{00000000-0005-0000-0000-0000904E0000}"/>
    <cellStyle name="Normal 236 5 2" xfId="20113" xr:uid="{00000000-0005-0000-0000-0000914E0000}"/>
    <cellStyle name="Normal 236 5 2 2" xfId="20114" xr:uid="{00000000-0005-0000-0000-0000924E0000}"/>
    <cellStyle name="Normal 236 5 3" xfId="20115" xr:uid="{00000000-0005-0000-0000-0000934E0000}"/>
    <cellStyle name="Normal 236 6" xfId="20116" xr:uid="{00000000-0005-0000-0000-0000944E0000}"/>
    <cellStyle name="Normal 236 6 2" xfId="20117" xr:uid="{00000000-0005-0000-0000-0000954E0000}"/>
    <cellStyle name="Normal 236 6 2 2" xfId="20118" xr:uid="{00000000-0005-0000-0000-0000964E0000}"/>
    <cellStyle name="Normal 236 6 3" xfId="20119" xr:uid="{00000000-0005-0000-0000-0000974E0000}"/>
    <cellStyle name="Normal 236 7" xfId="20120" xr:uid="{00000000-0005-0000-0000-0000984E0000}"/>
    <cellStyle name="Normal 236 7 2" xfId="20121" xr:uid="{00000000-0005-0000-0000-0000994E0000}"/>
    <cellStyle name="Normal 236 7 2 2" xfId="20122" xr:uid="{00000000-0005-0000-0000-00009A4E0000}"/>
    <cellStyle name="Normal 236 7 3" xfId="20123" xr:uid="{00000000-0005-0000-0000-00009B4E0000}"/>
    <cellStyle name="Normal 236 8" xfId="20124" xr:uid="{00000000-0005-0000-0000-00009C4E0000}"/>
    <cellStyle name="Normal 237" xfId="20125" xr:uid="{00000000-0005-0000-0000-00009D4E0000}"/>
    <cellStyle name="Normal 237 2" xfId="20126" xr:uid="{00000000-0005-0000-0000-00009E4E0000}"/>
    <cellStyle name="Normal 237 2 2" xfId="20127" xr:uid="{00000000-0005-0000-0000-00009F4E0000}"/>
    <cellStyle name="Normal 237 2 2 2" xfId="20128" xr:uid="{00000000-0005-0000-0000-0000A04E0000}"/>
    <cellStyle name="Normal 237 2 2 2 2" xfId="20129" xr:uid="{00000000-0005-0000-0000-0000A14E0000}"/>
    <cellStyle name="Normal 237 2 2 3" xfId="20130" xr:uid="{00000000-0005-0000-0000-0000A24E0000}"/>
    <cellStyle name="Normal 237 2 2 3 2" xfId="20131" xr:uid="{00000000-0005-0000-0000-0000A34E0000}"/>
    <cellStyle name="Normal 237 2 2 3 2 2" xfId="20132" xr:uid="{00000000-0005-0000-0000-0000A44E0000}"/>
    <cellStyle name="Normal 237 2 2 3 3" xfId="20133" xr:uid="{00000000-0005-0000-0000-0000A54E0000}"/>
    <cellStyle name="Normal 237 2 2 4" xfId="20134" xr:uid="{00000000-0005-0000-0000-0000A64E0000}"/>
    <cellStyle name="Normal 237 2 2 4 2" xfId="20135" xr:uid="{00000000-0005-0000-0000-0000A74E0000}"/>
    <cellStyle name="Normal 237 2 2 4 2 2" xfId="20136" xr:uid="{00000000-0005-0000-0000-0000A84E0000}"/>
    <cellStyle name="Normal 237 2 2 4 3" xfId="20137" xr:uid="{00000000-0005-0000-0000-0000A94E0000}"/>
    <cellStyle name="Normal 237 2 2 5" xfId="20138" xr:uid="{00000000-0005-0000-0000-0000AA4E0000}"/>
    <cellStyle name="Normal 237 2 3" xfId="20139" xr:uid="{00000000-0005-0000-0000-0000AB4E0000}"/>
    <cellStyle name="Normal 237 2 3 2" xfId="20140" xr:uid="{00000000-0005-0000-0000-0000AC4E0000}"/>
    <cellStyle name="Normal 237 2 3 2 2" xfId="20141" xr:uid="{00000000-0005-0000-0000-0000AD4E0000}"/>
    <cellStyle name="Normal 237 2 3 2 2 2" xfId="20142" xr:uid="{00000000-0005-0000-0000-0000AE4E0000}"/>
    <cellStyle name="Normal 237 2 3 2 3" xfId="20143" xr:uid="{00000000-0005-0000-0000-0000AF4E0000}"/>
    <cellStyle name="Normal 237 2 3 2 3 2" xfId="20144" xr:uid="{00000000-0005-0000-0000-0000B04E0000}"/>
    <cellStyle name="Normal 237 2 3 2 3 2 2" xfId="20145" xr:uid="{00000000-0005-0000-0000-0000B14E0000}"/>
    <cellStyle name="Normal 237 2 3 2 3 3" xfId="20146" xr:uid="{00000000-0005-0000-0000-0000B24E0000}"/>
    <cellStyle name="Normal 237 2 3 2 4" xfId="20147" xr:uid="{00000000-0005-0000-0000-0000B34E0000}"/>
    <cellStyle name="Normal 237 2 3 3" xfId="20148" xr:uid="{00000000-0005-0000-0000-0000B44E0000}"/>
    <cellStyle name="Normal 237 2 3 3 2" xfId="20149" xr:uid="{00000000-0005-0000-0000-0000B54E0000}"/>
    <cellStyle name="Normal 237 2 3 3 2 2" xfId="20150" xr:uid="{00000000-0005-0000-0000-0000B64E0000}"/>
    <cellStyle name="Normal 237 2 3 3 3" xfId="20151" xr:uid="{00000000-0005-0000-0000-0000B74E0000}"/>
    <cellStyle name="Normal 237 2 3 4" xfId="20152" xr:uid="{00000000-0005-0000-0000-0000B84E0000}"/>
    <cellStyle name="Normal 237 2 3 4 2" xfId="20153" xr:uid="{00000000-0005-0000-0000-0000B94E0000}"/>
    <cellStyle name="Normal 237 2 3 4 2 2" xfId="20154" xr:uid="{00000000-0005-0000-0000-0000BA4E0000}"/>
    <cellStyle name="Normal 237 2 3 4 3" xfId="20155" xr:uid="{00000000-0005-0000-0000-0000BB4E0000}"/>
    <cellStyle name="Normal 237 2 3 5" xfId="20156" xr:uid="{00000000-0005-0000-0000-0000BC4E0000}"/>
    <cellStyle name="Normal 237 2 3 5 2" xfId="20157" xr:uid="{00000000-0005-0000-0000-0000BD4E0000}"/>
    <cellStyle name="Normal 237 2 3 5 2 2" xfId="20158" xr:uid="{00000000-0005-0000-0000-0000BE4E0000}"/>
    <cellStyle name="Normal 237 2 3 5 3" xfId="20159" xr:uid="{00000000-0005-0000-0000-0000BF4E0000}"/>
    <cellStyle name="Normal 237 2 3 6" xfId="20160" xr:uid="{00000000-0005-0000-0000-0000C04E0000}"/>
    <cellStyle name="Normal 237 2 4" xfId="20161" xr:uid="{00000000-0005-0000-0000-0000C14E0000}"/>
    <cellStyle name="Normal 237 2 4 2" xfId="20162" xr:uid="{00000000-0005-0000-0000-0000C24E0000}"/>
    <cellStyle name="Normal 237 2 4 2 2" xfId="20163" xr:uid="{00000000-0005-0000-0000-0000C34E0000}"/>
    <cellStyle name="Normal 237 2 4 3" xfId="20164" xr:uid="{00000000-0005-0000-0000-0000C44E0000}"/>
    <cellStyle name="Normal 237 2 5" xfId="20165" xr:uid="{00000000-0005-0000-0000-0000C54E0000}"/>
    <cellStyle name="Normal 237 2 5 2" xfId="20166" xr:uid="{00000000-0005-0000-0000-0000C64E0000}"/>
    <cellStyle name="Normal 237 2 5 2 2" xfId="20167" xr:uid="{00000000-0005-0000-0000-0000C74E0000}"/>
    <cellStyle name="Normal 237 2 5 3" xfId="20168" xr:uid="{00000000-0005-0000-0000-0000C84E0000}"/>
    <cellStyle name="Normal 237 2 6" xfId="20169" xr:uid="{00000000-0005-0000-0000-0000C94E0000}"/>
    <cellStyle name="Normal 237 2 6 2" xfId="20170" xr:uid="{00000000-0005-0000-0000-0000CA4E0000}"/>
    <cellStyle name="Normal 237 2 6 2 2" xfId="20171" xr:uid="{00000000-0005-0000-0000-0000CB4E0000}"/>
    <cellStyle name="Normal 237 2 6 3" xfId="20172" xr:uid="{00000000-0005-0000-0000-0000CC4E0000}"/>
    <cellStyle name="Normal 237 2 7" xfId="20173" xr:uid="{00000000-0005-0000-0000-0000CD4E0000}"/>
    <cellStyle name="Normal 237 3" xfId="20174" xr:uid="{00000000-0005-0000-0000-0000CE4E0000}"/>
    <cellStyle name="Normal 237 3 2" xfId="20175" xr:uid="{00000000-0005-0000-0000-0000CF4E0000}"/>
    <cellStyle name="Normal 237 3 2 2" xfId="20176" xr:uid="{00000000-0005-0000-0000-0000D04E0000}"/>
    <cellStyle name="Normal 237 3 3" xfId="20177" xr:uid="{00000000-0005-0000-0000-0000D14E0000}"/>
    <cellStyle name="Normal 237 3 3 2" xfId="20178" xr:uid="{00000000-0005-0000-0000-0000D24E0000}"/>
    <cellStyle name="Normal 237 3 3 2 2" xfId="20179" xr:uid="{00000000-0005-0000-0000-0000D34E0000}"/>
    <cellStyle name="Normal 237 3 3 3" xfId="20180" xr:uid="{00000000-0005-0000-0000-0000D44E0000}"/>
    <cellStyle name="Normal 237 3 4" xfId="20181" xr:uid="{00000000-0005-0000-0000-0000D54E0000}"/>
    <cellStyle name="Normal 237 3 4 2" xfId="20182" xr:uid="{00000000-0005-0000-0000-0000D64E0000}"/>
    <cellStyle name="Normal 237 3 4 2 2" xfId="20183" xr:uid="{00000000-0005-0000-0000-0000D74E0000}"/>
    <cellStyle name="Normal 237 3 4 3" xfId="20184" xr:uid="{00000000-0005-0000-0000-0000D84E0000}"/>
    <cellStyle name="Normal 237 3 5" xfId="20185" xr:uid="{00000000-0005-0000-0000-0000D94E0000}"/>
    <cellStyle name="Normal 237 4" xfId="20186" xr:uid="{00000000-0005-0000-0000-0000DA4E0000}"/>
    <cellStyle name="Normal 237 4 2" xfId="20187" xr:uid="{00000000-0005-0000-0000-0000DB4E0000}"/>
    <cellStyle name="Normal 237 4 2 2" xfId="20188" xr:uid="{00000000-0005-0000-0000-0000DC4E0000}"/>
    <cellStyle name="Normal 237 4 2 2 2" xfId="20189" xr:uid="{00000000-0005-0000-0000-0000DD4E0000}"/>
    <cellStyle name="Normal 237 4 2 3" xfId="20190" xr:uid="{00000000-0005-0000-0000-0000DE4E0000}"/>
    <cellStyle name="Normal 237 4 2 3 2" xfId="20191" xr:uid="{00000000-0005-0000-0000-0000DF4E0000}"/>
    <cellStyle name="Normal 237 4 2 3 2 2" xfId="20192" xr:uid="{00000000-0005-0000-0000-0000E04E0000}"/>
    <cellStyle name="Normal 237 4 2 3 3" xfId="20193" xr:uid="{00000000-0005-0000-0000-0000E14E0000}"/>
    <cellStyle name="Normal 237 4 2 4" xfId="20194" xr:uid="{00000000-0005-0000-0000-0000E24E0000}"/>
    <cellStyle name="Normal 237 4 3" xfId="20195" xr:uid="{00000000-0005-0000-0000-0000E34E0000}"/>
    <cellStyle name="Normal 237 4 3 2" xfId="20196" xr:uid="{00000000-0005-0000-0000-0000E44E0000}"/>
    <cellStyle name="Normal 237 4 3 2 2" xfId="20197" xr:uid="{00000000-0005-0000-0000-0000E54E0000}"/>
    <cellStyle name="Normal 237 4 3 3" xfId="20198" xr:uid="{00000000-0005-0000-0000-0000E64E0000}"/>
    <cellStyle name="Normal 237 4 4" xfId="20199" xr:uid="{00000000-0005-0000-0000-0000E74E0000}"/>
    <cellStyle name="Normal 237 4 4 2" xfId="20200" xr:uid="{00000000-0005-0000-0000-0000E84E0000}"/>
    <cellStyle name="Normal 237 4 4 2 2" xfId="20201" xr:uid="{00000000-0005-0000-0000-0000E94E0000}"/>
    <cellStyle name="Normal 237 4 4 3" xfId="20202" xr:uid="{00000000-0005-0000-0000-0000EA4E0000}"/>
    <cellStyle name="Normal 237 4 5" xfId="20203" xr:uid="{00000000-0005-0000-0000-0000EB4E0000}"/>
    <cellStyle name="Normal 237 4 5 2" xfId="20204" xr:uid="{00000000-0005-0000-0000-0000EC4E0000}"/>
    <cellStyle name="Normal 237 4 5 2 2" xfId="20205" xr:uid="{00000000-0005-0000-0000-0000ED4E0000}"/>
    <cellStyle name="Normal 237 4 5 3" xfId="20206" xr:uid="{00000000-0005-0000-0000-0000EE4E0000}"/>
    <cellStyle name="Normal 237 4 6" xfId="20207" xr:uid="{00000000-0005-0000-0000-0000EF4E0000}"/>
    <cellStyle name="Normal 237 5" xfId="20208" xr:uid="{00000000-0005-0000-0000-0000F04E0000}"/>
    <cellStyle name="Normal 237 5 2" xfId="20209" xr:uid="{00000000-0005-0000-0000-0000F14E0000}"/>
    <cellStyle name="Normal 237 5 2 2" xfId="20210" xr:uid="{00000000-0005-0000-0000-0000F24E0000}"/>
    <cellStyle name="Normal 237 5 3" xfId="20211" xr:uid="{00000000-0005-0000-0000-0000F34E0000}"/>
    <cellStyle name="Normal 237 6" xfId="20212" xr:uid="{00000000-0005-0000-0000-0000F44E0000}"/>
    <cellStyle name="Normal 237 6 2" xfId="20213" xr:uid="{00000000-0005-0000-0000-0000F54E0000}"/>
    <cellStyle name="Normal 237 6 2 2" xfId="20214" xr:uid="{00000000-0005-0000-0000-0000F64E0000}"/>
    <cellStyle name="Normal 237 6 3" xfId="20215" xr:uid="{00000000-0005-0000-0000-0000F74E0000}"/>
    <cellStyle name="Normal 237 7" xfId="20216" xr:uid="{00000000-0005-0000-0000-0000F84E0000}"/>
    <cellStyle name="Normal 237 7 2" xfId="20217" xr:uid="{00000000-0005-0000-0000-0000F94E0000}"/>
    <cellStyle name="Normal 237 7 2 2" xfId="20218" xr:uid="{00000000-0005-0000-0000-0000FA4E0000}"/>
    <cellStyle name="Normal 237 7 3" xfId="20219" xr:uid="{00000000-0005-0000-0000-0000FB4E0000}"/>
    <cellStyle name="Normal 237 8" xfId="20220" xr:uid="{00000000-0005-0000-0000-0000FC4E0000}"/>
    <cellStyle name="Normal 238" xfId="20221" xr:uid="{00000000-0005-0000-0000-0000FD4E0000}"/>
    <cellStyle name="Normal 238 2" xfId="20222" xr:uid="{00000000-0005-0000-0000-0000FE4E0000}"/>
    <cellStyle name="Normal 238 2 2" xfId="20223" xr:uid="{00000000-0005-0000-0000-0000FF4E0000}"/>
    <cellStyle name="Normal 238 2 2 2" xfId="20224" xr:uid="{00000000-0005-0000-0000-0000004F0000}"/>
    <cellStyle name="Normal 238 2 2 2 2" xfId="20225" xr:uid="{00000000-0005-0000-0000-0000014F0000}"/>
    <cellStyle name="Normal 238 2 2 3" xfId="20226" xr:uid="{00000000-0005-0000-0000-0000024F0000}"/>
    <cellStyle name="Normal 238 2 2 3 2" xfId="20227" xr:uid="{00000000-0005-0000-0000-0000034F0000}"/>
    <cellStyle name="Normal 238 2 2 3 2 2" xfId="20228" xr:uid="{00000000-0005-0000-0000-0000044F0000}"/>
    <cellStyle name="Normal 238 2 2 3 3" xfId="20229" xr:uid="{00000000-0005-0000-0000-0000054F0000}"/>
    <cellStyle name="Normal 238 2 2 4" xfId="20230" xr:uid="{00000000-0005-0000-0000-0000064F0000}"/>
    <cellStyle name="Normal 238 2 2 4 2" xfId="20231" xr:uid="{00000000-0005-0000-0000-0000074F0000}"/>
    <cellStyle name="Normal 238 2 2 4 2 2" xfId="20232" xr:uid="{00000000-0005-0000-0000-0000084F0000}"/>
    <cellStyle name="Normal 238 2 2 4 3" xfId="20233" xr:uid="{00000000-0005-0000-0000-0000094F0000}"/>
    <cellStyle name="Normal 238 2 2 5" xfId="20234" xr:uid="{00000000-0005-0000-0000-00000A4F0000}"/>
    <cellStyle name="Normal 238 2 3" xfId="20235" xr:uid="{00000000-0005-0000-0000-00000B4F0000}"/>
    <cellStyle name="Normal 238 2 3 2" xfId="20236" xr:uid="{00000000-0005-0000-0000-00000C4F0000}"/>
    <cellStyle name="Normal 238 2 3 2 2" xfId="20237" xr:uid="{00000000-0005-0000-0000-00000D4F0000}"/>
    <cellStyle name="Normal 238 2 3 2 2 2" xfId="20238" xr:uid="{00000000-0005-0000-0000-00000E4F0000}"/>
    <cellStyle name="Normal 238 2 3 2 3" xfId="20239" xr:uid="{00000000-0005-0000-0000-00000F4F0000}"/>
    <cellStyle name="Normal 238 2 3 2 3 2" xfId="20240" xr:uid="{00000000-0005-0000-0000-0000104F0000}"/>
    <cellStyle name="Normal 238 2 3 2 3 2 2" xfId="20241" xr:uid="{00000000-0005-0000-0000-0000114F0000}"/>
    <cellStyle name="Normal 238 2 3 2 3 3" xfId="20242" xr:uid="{00000000-0005-0000-0000-0000124F0000}"/>
    <cellStyle name="Normal 238 2 3 2 4" xfId="20243" xr:uid="{00000000-0005-0000-0000-0000134F0000}"/>
    <cellStyle name="Normal 238 2 3 3" xfId="20244" xr:uid="{00000000-0005-0000-0000-0000144F0000}"/>
    <cellStyle name="Normal 238 2 3 3 2" xfId="20245" xr:uid="{00000000-0005-0000-0000-0000154F0000}"/>
    <cellStyle name="Normal 238 2 3 3 2 2" xfId="20246" xr:uid="{00000000-0005-0000-0000-0000164F0000}"/>
    <cellStyle name="Normal 238 2 3 3 3" xfId="20247" xr:uid="{00000000-0005-0000-0000-0000174F0000}"/>
    <cellStyle name="Normal 238 2 3 4" xfId="20248" xr:uid="{00000000-0005-0000-0000-0000184F0000}"/>
    <cellStyle name="Normal 238 2 3 4 2" xfId="20249" xr:uid="{00000000-0005-0000-0000-0000194F0000}"/>
    <cellStyle name="Normal 238 2 3 4 2 2" xfId="20250" xr:uid="{00000000-0005-0000-0000-00001A4F0000}"/>
    <cellStyle name="Normal 238 2 3 4 3" xfId="20251" xr:uid="{00000000-0005-0000-0000-00001B4F0000}"/>
    <cellStyle name="Normal 238 2 3 5" xfId="20252" xr:uid="{00000000-0005-0000-0000-00001C4F0000}"/>
    <cellStyle name="Normal 238 2 3 5 2" xfId="20253" xr:uid="{00000000-0005-0000-0000-00001D4F0000}"/>
    <cellStyle name="Normal 238 2 3 5 2 2" xfId="20254" xr:uid="{00000000-0005-0000-0000-00001E4F0000}"/>
    <cellStyle name="Normal 238 2 3 5 3" xfId="20255" xr:uid="{00000000-0005-0000-0000-00001F4F0000}"/>
    <cellStyle name="Normal 238 2 3 6" xfId="20256" xr:uid="{00000000-0005-0000-0000-0000204F0000}"/>
    <cellStyle name="Normal 238 2 4" xfId="20257" xr:uid="{00000000-0005-0000-0000-0000214F0000}"/>
    <cellStyle name="Normal 238 2 4 2" xfId="20258" xr:uid="{00000000-0005-0000-0000-0000224F0000}"/>
    <cellStyle name="Normal 238 2 4 2 2" xfId="20259" xr:uid="{00000000-0005-0000-0000-0000234F0000}"/>
    <cellStyle name="Normal 238 2 4 3" xfId="20260" xr:uid="{00000000-0005-0000-0000-0000244F0000}"/>
    <cellStyle name="Normal 238 2 5" xfId="20261" xr:uid="{00000000-0005-0000-0000-0000254F0000}"/>
    <cellStyle name="Normal 238 2 5 2" xfId="20262" xr:uid="{00000000-0005-0000-0000-0000264F0000}"/>
    <cellStyle name="Normal 238 2 5 2 2" xfId="20263" xr:uid="{00000000-0005-0000-0000-0000274F0000}"/>
    <cellStyle name="Normal 238 2 5 3" xfId="20264" xr:uid="{00000000-0005-0000-0000-0000284F0000}"/>
    <cellStyle name="Normal 238 2 6" xfId="20265" xr:uid="{00000000-0005-0000-0000-0000294F0000}"/>
    <cellStyle name="Normal 238 2 6 2" xfId="20266" xr:uid="{00000000-0005-0000-0000-00002A4F0000}"/>
    <cellStyle name="Normal 238 2 6 2 2" xfId="20267" xr:uid="{00000000-0005-0000-0000-00002B4F0000}"/>
    <cellStyle name="Normal 238 2 6 3" xfId="20268" xr:uid="{00000000-0005-0000-0000-00002C4F0000}"/>
    <cellStyle name="Normal 238 2 7" xfId="20269" xr:uid="{00000000-0005-0000-0000-00002D4F0000}"/>
    <cellStyle name="Normal 238 3" xfId="20270" xr:uid="{00000000-0005-0000-0000-00002E4F0000}"/>
    <cellStyle name="Normal 238 3 2" xfId="20271" xr:uid="{00000000-0005-0000-0000-00002F4F0000}"/>
    <cellStyle name="Normal 238 3 2 2" xfId="20272" xr:uid="{00000000-0005-0000-0000-0000304F0000}"/>
    <cellStyle name="Normal 238 3 3" xfId="20273" xr:uid="{00000000-0005-0000-0000-0000314F0000}"/>
    <cellStyle name="Normal 238 3 3 2" xfId="20274" xr:uid="{00000000-0005-0000-0000-0000324F0000}"/>
    <cellStyle name="Normal 238 3 3 2 2" xfId="20275" xr:uid="{00000000-0005-0000-0000-0000334F0000}"/>
    <cellStyle name="Normal 238 3 3 3" xfId="20276" xr:uid="{00000000-0005-0000-0000-0000344F0000}"/>
    <cellStyle name="Normal 238 3 4" xfId="20277" xr:uid="{00000000-0005-0000-0000-0000354F0000}"/>
    <cellStyle name="Normal 238 3 4 2" xfId="20278" xr:uid="{00000000-0005-0000-0000-0000364F0000}"/>
    <cellStyle name="Normal 238 3 4 2 2" xfId="20279" xr:uid="{00000000-0005-0000-0000-0000374F0000}"/>
    <cellStyle name="Normal 238 3 4 3" xfId="20280" xr:uid="{00000000-0005-0000-0000-0000384F0000}"/>
    <cellStyle name="Normal 238 3 5" xfId="20281" xr:uid="{00000000-0005-0000-0000-0000394F0000}"/>
    <cellStyle name="Normal 238 4" xfId="20282" xr:uid="{00000000-0005-0000-0000-00003A4F0000}"/>
    <cellStyle name="Normal 238 4 2" xfId="20283" xr:uid="{00000000-0005-0000-0000-00003B4F0000}"/>
    <cellStyle name="Normal 238 4 2 2" xfId="20284" xr:uid="{00000000-0005-0000-0000-00003C4F0000}"/>
    <cellStyle name="Normal 238 4 2 2 2" xfId="20285" xr:uid="{00000000-0005-0000-0000-00003D4F0000}"/>
    <cellStyle name="Normal 238 4 2 3" xfId="20286" xr:uid="{00000000-0005-0000-0000-00003E4F0000}"/>
    <cellStyle name="Normal 238 4 2 3 2" xfId="20287" xr:uid="{00000000-0005-0000-0000-00003F4F0000}"/>
    <cellStyle name="Normal 238 4 2 3 2 2" xfId="20288" xr:uid="{00000000-0005-0000-0000-0000404F0000}"/>
    <cellStyle name="Normal 238 4 2 3 3" xfId="20289" xr:uid="{00000000-0005-0000-0000-0000414F0000}"/>
    <cellStyle name="Normal 238 4 2 4" xfId="20290" xr:uid="{00000000-0005-0000-0000-0000424F0000}"/>
    <cellStyle name="Normal 238 4 3" xfId="20291" xr:uid="{00000000-0005-0000-0000-0000434F0000}"/>
    <cellStyle name="Normal 238 4 3 2" xfId="20292" xr:uid="{00000000-0005-0000-0000-0000444F0000}"/>
    <cellStyle name="Normal 238 4 3 2 2" xfId="20293" xr:uid="{00000000-0005-0000-0000-0000454F0000}"/>
    <cellStyle name="Normal 238 4 3 3" xfId="20294" xr:uid="{00000000-0005-0000-0000-0000464F0000}"/>
    <cellStyle name="Normal 238 4 4" xfId="20295" xr:uid="{00000000-0005-0000-0000-0000474F0000}"/>
    <cellStyle name="Normal 238 4 4 2" xfId="20296" xr:uid="{00000000-0005-0000-0000-0000484F0000}"/>
    <cellStyle name="Normal 238 4 4 2 2" xfId="20297" xr:uid="{00000000-0005-0000-0000-0000494F0000}"/>
    <cellStyle name="Normal 238 4 4 3" xfId="20298" xr:uid="{00000000-0005-0000-0000-00004A4F0000}"/>
    <cellStyle name="Normal 238 4 5" xfId="20299" xr:uid="{00000000-0005-0000-0000-00004B4F0000}"/>
    <cellStyle name="Normal 238 4 5 2" xfId="20300" xr:uid="{00000000-0005-0000-0000-00004C4F0000}"/>
    <cellStyle name="Normal 238 4 5 2 2" xfId="20301" xr:uid="{00000000-0005-0000-0000-00004D4F0000}"/>
    <cellStyle name="Normal 238 4 5 3" xfId="20302" xr:uid="{00000000-0005-0000-0000-00004E4F0000}"/>
    <cellStyle name="Normal 238 4 6" xfId="20303" xr:uid="{00000000-0005-0000-0000-00004F4F0000}"/>
    <cellStyle name="Normal 238 5" xfId="20304" xr:uid="{00000000-0005-0000-0000-0000504F0000}"/>
    <cellStyle name="Normal 238 5 2" xfId="20305" xr:uid="{00000000-0005-0000-0000-0000514F0000}"/>
    <cellStyle name="Normal 238 5 2 2" xfId="20306" xr:uid="{00000000-0005-0000-0000-0000524F0000}"/>
    <cellStyle name="Normal 238 5 3" xfId="20307" xr:uid="{00000000-0005-0000-0000-0000534F0000}"/>
    <cellStyle name="Normal 238 6" xfId="20308" xr:uid="{00000000-0005-0000-0000-0000544F0000}"/>
    <cellStyle name="Normal 238 6 2" xfId="20309" xr:uid="{00000000-0005-0000-0000-0000554F0000}"/>
    <cellStyle name="Normal 238 6 2 2" xfId="20310" xr:uid="{00000000-0005-0000-0000-0000564F0000}"/>
    <cellStyle name="Normal 238 6 3" xfId="20311" xr:uid="{00000000-0005-0000-0000-0000574F0000}"/>
    <cellStyle name="Normal 238 7" xfId="20312" xr:uid="{00000000-0005-0000-0000-0000584F0000}"/>
    <cellStyle name="Normal 238 7 2" xfId="20313" xr:uid="{00000000-0005-0000-0000-0000594F0000}"/>
    <cellStyle name="Normal 238 7 2 2" xfId="20314" xr:uid="{00000000-0005-0000-0000-00005A4F0000}"/>
    <cellStyle name="Normal 238 7 3" xfId="20315" xr:uid="{00000000-0005-0000-0000-00005B4F0000}"/>
    <cellStyle name="Normal 238 8" xfId="20316" xr:uid="{00000000-0005-0000-0000-00005C4F0000}"/>
    <cellStyle name="Normal 239" xfId="20317" xr:uid="{00000000-0005-0000-0000-00005D4F0000}"/>
    <cellStyle name="Normal 239 2" xfId="20318" xr:uid="{00000000-0005-0000-0000-00005E4F0000}"/>
    <cellStyle name="Normal 239 2 2" xfId="20319" xr:uid="{00000000-0005-0000-0000-00005F4F0000}"/>
    <cellStyle name="Normal 239 2 2 2" xfId="20320" xr:uid="{00000000-0005-0000-0000-0000604F0000}"/>
    <cellStyle name="Normal 239 2 2 2 2" xfId="20321" xr:uid="{00000000-0005-0000-0000-0000614F0000}"/>
    <cellStyle name="Normal 239 2 2 3" xfId="20322" xr:uid="{00000000-0005-0000-0000-0000624F0000}"/>
    <cellStyle name="Normal 239 2 2 3 2" xfId="20323" xr:uid="{00000000-0005-0000-0000-0000634F0000}"/>
    <cellStyle name="Normal 239 2 2 3 2 2" xfId="20324" xr:uid="{00000000-0005-0000-0000-0000644F0000}"/>
    <cellStyle name="Normal 239 2 2 3 3" xfId="20325" xr:uid="{00000000-0005-0000-0000-0000654F0000}"/>
    <cellStyle name="Normal 239 2 2 4" xfId="20326" xr:uid="{00000000-0005-0000-0000-0000664F0000}"/>
    <cellStyle name="Normal 239 2 2 4 2" xfId="20327" xr:uid="{00000000-0005-0000-0000-0000674F0000}"/>
    <cellStyle name="Normal 239 2 2 4 2 2" xfId="20328" xr:uid="{00000000-0005-0000-0000-0000684F0000}"/>
    <cellStyle name="Normal 239 2 2 4 3" xfId="20329" xr:uid="{00000000-0005-0000-0000-0000694F0000}"/>
    <cellStyle name="Normal 239 2 2 5" xfId="20330" xr:uid="{00000000-0005-0000-0000-00006A4F0000}"/>
    <cellStyle name="Normal 239 2 3" xfId="20331" xr:uid="{00000000-0005-0000-0000-00006B4F0000}"/>
    <cellStyle name="Normal 239 2 3 2" xfId="20332" xr:uid="{00000000-0005-0000-0000-00006C4F0000}"/>
    <cellStyle name="Normal 239 2 3 2 2" xfId="20333" xr:uid="{00000000-0005-0000-0000-00006D4F0000}"/>
    <cellStyle name="Normal 239 2 3 2 2 2" xfId="20334" xr:uid="{00000000-0005-0000-0000-00006E4F0000}"/>
    <cellStyle name="Normal 239 2 3 2 3" xfId="20335" xr:uid="{00000000-0005-0000-0000-00006F4F0000}"/>
    <cellStyle name="Normal 239 2 3 2 3 2" xfId="20336" xr:uid="{00000000-0005-0000-0000-0000704F0000}"/>
    <cellStyle name="Normal 239 2 3 2 3 2 2" xfId="20337" xr:uid="{00000000-0005-0000-0000-0000714F0000}"/>
    <cellStyle name="Normal 239 2 3 2 3 3" xfId="20338" xr:uid="{00000000-0005-0000-0000-0000724F0000}"/>
    <cellStyle name="Normal 239 2 3 2 4" xfId="20339" xr:uid="{00000000-0005-0000-0000-0000734F0000}"/>
    <cellStyle name="Normal 239 2 3 3" xfId="20340" xr:uid="{00000000-0005-0000-0000-0000744F0000}"/>
    <cellStyle name="Normal 239 2 3 3 2" xfId="20341" xr:uid="{00000000-0005-0000-0000-0000754F0000}"/>
    <cellStyle name="Normal 239 2 3 3 2 2" xfId="20342" xr:uid="{00000000-0005-0000-0000-0000764F0000}"/>
    <cellStyle name="Normal 239 2 3 3 3" xfId="20343" xr:uid="{00000000-0005-0000-0000-0000774F0000}"/>
    <cellStyle name="Normal 239 2 3 4" xfId="20344" xr:uid="{00000000-0005-0000-0000-0000784F0000}"/>
    <cellStyle name="Normal 239 2 3 4 2" xfId="20345" xr:uid="{00000000-0005-0000-0000-0000794F0000}"/>
    <cellStyle name="Normal 239 2 3 4 2 2" xfId="20346" xr:uid="{00000000-0005-0000-0000-00007A4F0000}"/>
    <cellStyle name="Normal 239 2 3 4 3" xfId="20347" xr:uid="{00000000-0005-0000-0000-00007B4F0000}"/>
    <cellStyle name="Normal 239 2 3 5" xfId="20348" xr:uid="{00000000-0005-0000-0000-00007C4F0000}"/>
    <cellStyle name="Normal 239 2 3 5 2" xfId="20349" xr:uid="{00000000-0005-0000-0000-00007D4F0000}"/>
    <cellStyle name="Normal 239 2 3 5 2 2" xfId="20350" xr:uid="{00000000-0005-0000-0000-00007E4F0000}"/>
    <cellStyle name="Normal 239 2 3 5 3" xfId="20351" xr:uid="{00000000-0005-0000-0000-00007F4F0000}"/>
    <cellStyle name="Normal 239 2 3 6" xfId="20352" xr:uid="{00000000-0005-0000-0000-0000804F0000}"/>
    <cellStyle name="Normal 239 2 4" xfId="20353" xr:uid="{00000000-0005-0000-0000-0000814F0000}"/>
    <cellStyle name="Normal 239 2 4 2" xfId="20354" xr:uid="{00000000-0005-0000-0000-0000824F0000}"/>
    <cellStyle name="Normal 239 2 4 2 2" xfId="20355" xr:uid="{00000000-0005-0000-0000-0000834F0000}"/>
    <cellStyle name="Normal 239 2 4 3" xfId="20356" xr:uid="{00000000-0005-0000-0000-0000844F0000}"/>
    <cellStyle name="Normal 239 2 5" xfId="20357" xr:uid="{00000000-0005-0000-0000-0000854F0000}"/>
    <cellStyle name="Normal 239 2 5 2" xfId="20358" xr:uid="{00000000-0005-0000-0000-0000864F0000}"/>
    <cellStyle name="Normal 239 2 5 2 2" xfId="20359" xr:uid="{00000000-0005-0000-0000-0000874F0000}"/>
    <cellStyle name="Normal 239 2 5 3" xfId="20360" xr:uid="{00000000-0005-0000-0000-0000884F0000}"/>
    <cellStyle name="Normal 239 2 6" xfId="20361" xr:uid="{00000000-0005-0000-0000-0000894F0000}"/>
    <cellStyle name="Normal 239 2 6 2" xfId="20362" xr:uid="{00000000-0005-0000-0000-00008A4F0000}"/>
    <cellStyle name="Normal 239 2 6 2 2" xfId="20363" xr:uid="{00000000-0005-0000-0000-00008B4F0000}"/>
    <cellStyle name="Normal 239 2 6 3" xfId="20364" xr:uid="{00000000-0005-0000-0000-00008C4F0000}"/>
    <cellStyle name="Normal 239 2 7" xfId="20365" xr:uid="{00000000-0005-0000-0000-00008D4F0000}"/>
    <cellStyle name="Normal 239 3" xfId="20366" xr:uid="{00000000-0005-0000-0000-00008E4F0000}"/>
    <cellStyle name="Normal 239 3 2" xfId="20367" xr:uid="{00000000-0005-0000-0000-00008F4F0000}"/>
    <cellStyle name="Normal 239 3 2 2" xfId="20368" xr:uid="{00000000-0005-0000-0000-0000904F0000}"/>
    <cellStyle name="Normal 239 3 3" xfId="20369" xr:uid="{00000000-0005-0000-0000-0000914F0000}"/>
    <cellStyle name="Normal 239 3 3 2" xfId="20370" xr:uid="{00000000-0005-0000-0000-0000924F0000}"/>
    <cellStyle name="Normal 239 3 3 2 2" xfId="20371" xr:uid="{00000000-0005-0000-0000-0000934F0000}"/>
    <cellStyle name="Normal 239 3 3 3" xfId="20372" xr:uid="{00000000-0005-0000-0000-0000944F0000}"/>
    <cellStyle name="Normal 239 3 4" xfId="20373" xr:uid="{00000000-0005-0000-0000-0000954F0000}"/>
    <cellStyle name="Normal 239 3 4 2" xfId="20374" xr:uid="{00000000-0005-0000-0000-0000964F0000}"/>
    <cellStyle name="Normal 239 3 4 2 2" xfId="20375" xr:uid="{00000000-0005-0000-0000-0000974F0000}"/>
    <cellStyle name="Normal 239 3 4 3" xfId="20376" xr:uid="{00000000-0005-0000-0000-0000984F0000}"/>
    <cellStyle name="Normal 239 3 5" xfId="20377" xr:uid="{00000000-0005-0000-0000-0000994F0000}"/>
    <cellStyle name="Normal 239 4" xfId="20378" xr:uid="{00000000-0005-0000-0000-00009A4F0000}"/>
    <cellStyle name="Normal 239 4 2" xfId="20379" xr:uid="{00000000-0005-0000-0000-00009B4F0000}"/>
    <cellStyle name="Normal 239 4 2 2" xfId="20380" xr:uid="{00000000-0005-0000-0000-00009C4F0000}"/>
    <cellStyle name="Normal 239 4 2 2 2" xfId="20381" xr:uid="{00000000-0005-0000-0000-00009D4F0000}"/>
    <cellStyle name="Normal 239 4 2 3" xfId="20382" xr:uid="{00000000-0005-0000-0000-00009E4F0000}"/>
    <cellStyle name="Normal 239 4 2 3 2" xfId="20383" xr:uid="{00000000-0005-0000-0000-00009F4F0000}"/>
    <cellStyle name="Normal 239 4 2 3 2 2" xfId="20384" xr:uid="{00000000-0005-0000-0000-0000A04F0000}"/>
    <cellStyle name="Normal 239 4 2 3 3" xfId="20385" xr:uid="{00000000-0005-0000-0000-0000A14F0000}"/>
    <cellStyle name="Normal 239 4 2 4" xfId="20386" xr:uid="{00000000-0005-0000-0000-0000A24F0000}"/>
    <cellStyle name="Normal 239 4 3" xfId="20387" xr:uid="{00000000-0005-0000-0000-0000A34F0000}"/>
    <cellStyle name="Normal 239 4 3 2" xfId="20388" xr:uid="{00000000-0005-0000-0000-0000A44F0000}"/>
    <cellStyle name="Normal 239 4 3 2 2" xfId="20389" xr:uid="{00000000-0005-0000-0000-0000A54F0000}"/>
    <cellStyle name="Normal 239 4 3 3" xfId="20390" xr:uid="{00000000-0005-0000-0000-0000A64F0000}"/>
    <cellStyle name="Normal 239 4 4" xfId="20391" xr:uid="{00000000-0005-0000-0000-0000A74F0000}"/>
    <cellStyle name="Normal 239 4 4 2" xfId="20392" xr:uid="{00000000-0005-0000-0000-0000A84F0000}"/>
    <cellStyle name="Normal 239 4 4 2 2" xfId="20393" xr:uid="{00000000-0005-0000-0000-0000A94F0000}"/>
    <cellStyle name="Normal 239 4 4 3" xfId="20394" xr:uid="{00000000-0005-0000-0000-0000AA4F0000}"/>
    <cellStyle name="Normal 239 4 5" xfId="20395" xr:uid="{00000000-0005-0000-0000-0000AB4F0000}"/>
    <cellStyle name="Normal 239 4 5 2" xfId="20396" xr:uid="{00000000-0005-0000-0000-0000AC4F0000}"/>
    <cellStyle name="Normal 239 4 5 2 2" xfId="20397" xr:uid="{00000000-0005-0000-0000-0000AD4F0000}"/>
    <cellStyle name="Normal 239 4 5 3" xfId="20398" xr:uid="{00000000-0005-0000-0000-0000AE4F0000}"/>
    <cellStyle name="Normal 239 4 6" xfId="20399" xr:uid="{00000000-0005-0000-0000-0000AF4F0000}"/>
    <cellStyle name="Normal 239 5" xfId="20400" xr:uid="{00000000-0005-0000-0000-0000B04F0000}"/>
    <cellStyle name="Normal 239 5 2" xfId="20401" xr:uid="{00000000-0005-0000-0000-0000B14F0000}"/>
    <cellStyle name="Normal 239 5 2 2" xfId="20402" xr:uid="{00000000-0005-0000-0000-0000B24F0000}"/>
    <cellStyle name="Normal 239 5 3" xfId="20403" xr:uid="{00000000-0005-0000-0000-0000B34F0000}"/>
    <cellStyle name="Normal 239 6" xfId="20404" xr:uid="{00000000-0005-0000-0000-0000B44F0000}"/>
    <cellStyle name="Normal 239 6 2" xfId="20405" xr:uid="{00000000-0005-0000-0000-0000B54F0000}"/>
    <cellStyle name="Normal 239 6 2 2" xfId="20406" xr:uid="{00000000-0005-0000-0000-0000B64F0000}"/>
    <cellStyle name="Normal 239 6 3" xfId="20407" xr:uid="{00000000-0005-0000-0000-0000B74F0000}"/>
    <cellStyle name="Normal 239 7" xfId="20408" xr:uid="{00000000-0005-0000-0000-0000B84F0000}"/>
    <cellStyle name="Normal 239 7 2" xfId="20409" xr:uid="{00000000-0005-0000-0000-0000B94F0000}"/>
    <cellStyle name="Normal 239 7 2 2" xfId="20410" xr:uid="{00000000-0005-0000-0000-0000BA4F0000}"/>
    <cellStyle name="Normal 239 7 3" xfId="20411" xr:uid="{00000000-0005-0000-0000-0000BB4F0000}"/>
    <cellStyle name="Normal 239 8" xfId="20412" xr:uid="{00000000-0005-0000-0000-0000BC4F0000}"/>
    <cellStyle name="Normal 24" xfId="20413" xr:uid="{00000000-0005-0000-0000-0000BD4F0000}"/>
    <cellStyle name="Normal 24 2" xfId="20414" xr:uid="{00000000-0005-0000-0000-0000BE4F0000}"/>
    <cellStyle name="Normal 24 2 2" xfId="20415" xr:uid="{00000000-0005-0000-0000-0000BF4F0000}"/>
    <cellStyle name="Normal 24 2 2 2" xfId="20416" xr:uid="{00000000-0005-0000-0000-0000C04F0000}"/>
    <cellStyle name="Normal 24 2 2 2 2" xfId="20417" xr:uid="{00000000-0005-0000-0000-0000C14F0000}"/>
    <cellStyle name="Normal 24 2 2 3" xfId="20418" xr:uid="{00000000-0005-0000-0000-0000C24F0000}"/>
    <cellStyle name="Normal 24 2 2 3 2" xfId="20419" xr:uid="{00000000-0005-0000-0000-0000C34F0000}"/>
    <cellStyle name="Normal 24 2 2 3 2 2" xfId="20420" xr:uid="{00000000-0005-0000-0000-0000C44F0000}"/>
    <cellStyle name="Normal 24 2 2 3 3" xfId="20421" xr:uid="{00000000-0005-0000-0000-0000C54F0000}"/>
    <cellStyle name="Normal 24 2 2 4" xfId="20422" xr:uid="{00000000-0005-0000-0000-0000C64F0000}"/>
    <cellStyle name="Normal 24 2 2 4 2" xfId="20423" xr:uid="{00000000-0005-0000-0000-0000C74F0000}"/>
    <cellStyle name="Normal 24 2 2 4 2 2" xfId="20424" xr:uid="{00000000-0005-0000-0000-0000C84F0000}"/>
    <cellStyle name="Normal 24 2 2 4 3" xfId="20425" xr:uid="{00000000-0005-0000-0000-0000C94F0000}"/>
    <cellStyle name="Normal 24 2 2 5" xfId="20426" xr:uid="{00000000-0005-0000-0000-0000CA4F0000}"/>
    <cellStyle name="Normal 24 2 3" xfId="20427" xr:uid="{00000000-0005-0000-0000-0000CB4F0000}"/>
    <cellStyle name="Normal 24 2 3 2" xfId="20428" xr:uid="{00000000-0005-0000-0000-0000CC4F0000}"/>
    <cellStyle name="Normal 24 2 3 2 2" xfId="20429" xr:uid="{00000000-0005-0000-0000-0000CD4F0000}"/>
    <cellStyle name="Normal 24 2 3 3" xfId="20430" xr:uid="{00000000-0005-0000-0000-0000CE4F0000}"/>
    <cellStyle name="Normal 24 2 4" xfId="20431" xr:uid="{00000000-0005-0000-0000-0000CF4F0000}"/>
    <cellStyle name="Normal 24 2 4 2" xfId="20432" xr:uid="{00000000-0005-0000-0000-0000D04F0000}"/>
    <cellStyle name="Normal 24 2 4 2 2" xfId="20433" xr:uid="{00000000-0005-0000-0000-0000D14F0000}"/>
    <cellStyle name="Normal 24 2 4 3" xfId="20434" xr:uid="{00000000-0005-0000-0000-0000D24F0000}"/>
    <cellStyle name="Normal 24 2 5" xfId="20435" xr:uid="{00000000-0005-0000-0000-0000D34F0000}"/>
    <cellStyle name="Normal 24 2 5 2" xfId="20436" xr:uid="{00000000-0005-0000-0000-0000D44F0000}"/>
    <cellStyle name="Normal 24 2 5 2 2" xfId="20437" xr:uid="{00000000-0005-0000-0000-0000D54F0000}"/>
    <cellStyle name="Normal 24 2 5 3" xfId="20438" xr:uid="{00000000-0005-0000-0000-0000D64F0000}"/>
    <cellStyle name="Normal 24 2 6" xfId="20439" xr:uid="{00000000-0005-0000-0000-0000D74F0000}"/>
    <cellStyle name="Normal 24 3" xfId="20440" xr:uid="{00000000-0005-0000-0000-0000D84F0000}"/>
    <cellStyle name="Normal 24 3 2" xfId="20441" xr:uid="{00000000-0005-0000-0000-0000D94F0000}"/>
    <cellStyle name="Normal 24 3 2 2" xfId="20442" xr:uid="{00000000-0005-0000-0000-0000DA4F0000}"/>
    <cellStyle name="Normal 24 3 3" xfId="20443" xr:uid="{00000000-0005-0000-0000-0000DB4F0000}"/>
    <cellStyle name="Normal 24 3 3 2" xfId="20444" xr:uid="{00000000-0005-0000-0000-0000DC4F0000}"/>
    <cellStyle name="Normal 24 3 3 2 2" xfId="20445" xr:uid="{00000000-0005-0000-0000-0000DD4F0000}"/>
    <cellStyle name="Normal 24 3 3 3" xfId="20446" xr:uid="{00000000-0005-0000-0000-0000DE4F0000}"/>
    <cellStyle name="Normal 24 3 4" xfId="20447" xr:uid="{00000000-0005-0000-0000-0000DF4F0000}"/>
    <cellStyle name="Normal 24 3 4 2" xfId="20448" xr:uid="{00000000-0005-0000-0000-0000E04F0000}"/>
    <cellStyle name="Normal 24 3 4 2 2" xfId="20449" xr:uid="{00000000-0005-0000-0000-0000E14F0000}"/>
    <cellStyle name="Normal 24 3 4 3" xfId="20450" xr:uid="{00000000-0005-0000-0000-0000E24F0000}"/>
    <cellStyle name="Normal 24 3 5" xfId="20451" xr:uid="{00000000-0005-0000-0000-0000E34F0000}"/>
    <cellStyle name="Normal 24 4" xfId="20452" xr:uid="{00000000-0005-0000-0000-0000E44F0000}"/>
    <cellStyle name="Normal 24 4 2" xfId="20453" xr:uid="{00000000-0005-0000-0000-0000E54F0000}"/>
    <cellStyle name="Normal 24 4 2 2" xfId="20454" xr:uid="{00000000-0005-0000-0000-0000E64F0000}"/>
    <cellStyle name="Normal 24 4 3" xfId="20455" xr:uid="{00000000-0005-0000-0000-0000E74F0000}"/>
    <cellStyle name="Normal 24 4 3 2" xfId="20456" xr:uid="{00000000-0005-0000-0000-0000E84F0000}"/>
    <cellStyle name="Normal 24 4 3 2 2" xfId="20457" xr:uid="{00000000-0005-0000-0000-0000E94F0000}"/>
    <cellStyle name="Normal 24 4 3 3" xfId="20458" xr:uid="{00000000-0005-0000-0000-0000EA4F0000}"/>
    <cellStyle name="Normal 24 4 4" xfId="20459" xr:uid="{00000000-0005-0000-0000-0000EB4F0000}"/>
    <cellStyle name="Normal 24 4 4 2" xfId="20460" xr:uid="{00000000-0005-0000-0000-0000EC4F0000}"/>
    <cellStyle name="Normal 24 4 4 2 2" xfId="20461" xr:uid="{00000000-0005-0000-0000-0000ED4F0000}"/>
    <cellStyle name="Normal 24 4 4 3" xfId="20462" xr:uid="{00000000-0005-0000-0000-0000EE4F0000}"/>
    <cellStyle name="Normal 24 4 5" xfId="20463" xr:uid="{00000000-0005-0000-0000-0000EF4F0000}"/>
    <cellStyle name="Normal 24 5" xfId="20464" xr:uid="{00000000-0005-0000-0000-0000F04F0000}"/>
    <cellStyle name="Normal 24 5 2" xfId="20465" xr:uid="{00000000-0005-0000-0000-0000F14F0000}"/>
    <cellStyle name="Normal 24 5 2 2" xfId="20466" xr:uid="{00000000-0005-0000-0000-0000F24F0000}"/>
    <cellStyle name="Normal 24 5 3" xfId="20467" xr:uid="{00000000-0005-0000-0000-0000F34F0000}"/>
    <cellStyle name="Normal 24 6" xfId="20468" xr:uid="{00000000-0005-0000-0000-0000F44F0000}"/>
    <cellStyle name="Normal 24 6 2" xfId="20469" xr:uid="{00000000-0005-0000-0000-0000F54F0000}"/>
    <cellStyle name="Normal 24 6 2 2" xfId="20470" xr:uid="{00000000-0005-0000-0000-0000F64F0000}"/>
    <cellStyle name="Normal 24 6 3" xfId="20471" xr:uid="{00000000-0005-0000-0000-0000F74F0000}"/>
    <cellStyle name="Normal 24 7" xfId="20472" xr:uid="{00000000-0005-0000-0000-0000F84F0000}"/>
    <cellStyle name="Normal 24 7 2" xfId="20473" xr:uid="{00000000-0005-0000-0000-0000F94F0000}"/>
    <cellStyle name="Normal 24 7 2 2" xfId="20474" xr:uid="{00000000-0005-0000-0000-0000FA4F0000}"/>
    <cellStyle name="Normal 24 7 3" xfId="20475" xr:uid="{00000000-0005-0000-0000-0000FB4F0000}"/>
    <cellStyle name="Normal 24 8" xfId="20476" xr:uid="{00000000-0005-0000-0000-0000FC4F0000}"/>
    <cellStyle name="Normal 240" xfId="20477" xr:uid="{00000000-0005-0000-0000-0000FD4F0000}"/>
    <cellStyle name="Normal 240 2" xfId="20478" xr:uid="{00000000-0005-0000-0000-0000FE4F0000}"/>
    <cellStyle name="Normal 240 2 2" xfId="20479" xr:uid="{00000000-0005-0000-0000-0000FF4F0000}"/>
    <cellStyle name="Normal 240 2 2 2" xfId="20480" xr:uid="{00000000-0005-0000-0000-000000500000}"/>
    <cellStyle name="Normal 240 2 2 2 2" xfId="20481" xr:uid="{00000000-0005-0000-0000-000001500000}"/>
    <cellStyle name="Normal 240 2 2 3" xfId="20482" xr:uid="{00000000-0005-0000-0000-000002500000}"/>
    <cellStyle name="Normal 240 2 2 3 2" xfId="20483" xr:uid="{00000000-0005-0000-0000-000003500000}"/>
    <cellStyle name="Normal 240 2 2 3 2 2" xfId="20484" xr:uid="{00000000-0005-0000-0000-000004500000}"/>
    <cellStyle name="Normal 240 2 2 3 3" xfId="20485" xr:uid="{00000000-0005-0000-0000-000005500000}"/>
    <cellStyle name="Normal 240 2 2 4" xfId="20486" xr:uid="{00000000-0005-0000-0000-000006500000}"/>
    <cellStyle name="Normal 240 2 2 4 2" xfId="20487" xr:uid="{00000000-0005-0000-0000-000007500000}"/>
    <cellStyle name="Normal 240 2 2 4 2 2" xfId="20488" xr:uid="{00000000-0005-0000-0000-000008500000}"/>
    <cellStyle name="Normal 240 2 2 4 3" xfId="20489" xr:uid="{00000000-0005-0000-0000-000009500000}"/>
    <cellStyle name="Normal 240 2 2 5" xfId="20490" xr:uid="{00000000-0005-0000-0000-00000A500000}"/>
    <cellStyle name="Normal 240 2 3" xfId="20491" xr:uid="{00000000-0005-0000-0000-00000B500000}"/>
    <cellStyle name="Normal 240 2 3 2" xfId="20492" xr:uid="{00000000-0005-0000-0000-00000C500000}"/>
    <cellStyle name="Normal 240 2 3 2 2" xfId="20493" xr:uid="{00000000-0005-0000-0000-00000D500000}"/>
    <cellStyle name="Normal 240 2 3 2 2 2" xfId="20494" xr:uid="{00000000-0005-0000-0000-00000E500000}"/>
    <cellStyle name="Normal 240 2 3 2 3" xfId="20495" xr:uid="{00000000-0005-0000-0000-00000F500000}"/>
    <cellStyle name="Normal 240 2 3 2 3 2" xfId="20496" xr:uid="{00000000-0005-0000-0000-000010500000}"/>
    <cellStyle name="Normal 240 2 3 2 3 2 2" xfId="20497" xr:uid="{00000000-0005-0000-0000-000011500000}"/>
    <cellStyle name="Normal 240 2 3 2 3 3" xfId="20498" xr:uid="{00000000-0005-0000-0000-000012500000}"/>
    <cellStyle name="Normal 240 2 3 2 4" xfId="20499" xr:uid="{00000000-0005-0000-0000-000013500000}"/>
    <cellStyle name="Normal 240 2 3 3" xfId="20500" xr:uid="{00000000-0005-0000-0000-000014500000}"/>
    <cellStyle name="Normal 240 2 3 3 2" xfId="20501" xr:uid="{00000000-0005-0000-0000-000015500000}"/>
    <cellStyle name="Normal 240 2 3 3 2 2" xfId="20502" xr:uid="{00000000-0005-0000-0000-000016500000}"/>
    <cellStyle name="Normal 240 2 3 3 3" xfId="20503" xr:uid="{00000000-0005-0000-0000-000017500000}"/>
    <cellStyle name="Normal 240 2 3 4" xfId="20504" xr:uid="{00000000-0005-0000-0000-000018500000}"/>
    <cellStyle name="Normal 240 2 3 4 2" xfId="20505" xr:uid="{00000000-0005-0000-0000-000019500000}"/>
    <cellStyle name="Normal 240 2 3 4 2 2" xfId="20506" xr:uid="{00000000-0005-0000-0000-00001A500000}"/>
    <cellStyle name="Normal 240 2 3 4 3" xfId="20507" xr:uid="{00000000-0005-0000-0000-00001B500000}"/>
    <cellStyle name="Normal 240 2 3 5" xfId="20508" xr:uid="{00000000-0005-0000-0000-00001C500000}"/>
    <cellStyle name="Normal 240 2 3 5 2" xfId="20509" xr:uid="{00000000-0005-0000-0000-00001D500000}"/>
    <cellStyle name="Normal 240 2 3 5 2 2" xfId="20510" xr:uid="{00000000-0005-0000-0000-00001E500000}"/>
    <cellStyle name="Normal 240 2 3 5 3" xfId="20511" xr:uid="{00000000-0005-0000-0000-00001F500000}"/>
    <cellStyle name="Normal 240 2 3 6" xfId="20512" xr:uid="{00000000-0005-0000-0000-000020500000}"/>
    <cellStyle name="Normal 240 2 4" xfId="20513" xr:uid="{00000000-0005-0000-0000-000021500000}"/>
    <cellStyle name="Normal 240 2 4 2" xfId="20514" xr:uid="{00000000-0005-0000-0000-000022500000}"/>
    <cellStyle name="Normal 240 2 4 2 2" xfId="20515" xr:uid="{00000000-0005-0000-0000-000023500000}"/>
    <cellStyle name="Normal 240 2 4 3" xfId="20516" xr:uid="{00000000-0005-0000-0000-000024500000}"/>
    <cellStyle name="Normal 240 2 5" xfId="20517" xr:uid="{00000000-0005-0000-0000-000025500000}"/>
    <cellStyle name="Normal 240 2 5 2" xfId="20518" xr:uid="{00000000-0005-0000-0000-000026500000}"/>
    <cellStyle name="Normal 240 2 5 2 2" xfId="20519" xr:uid="{00000000-0005-0000-0000-000027500000}"/>
    <cellStyle name="Normal 240 2 5 3" xfId="20520" xr:uid="{00000000-0005-0000-0000-000028500000}"/>
    <cellStyle name="Normal 240 2 6" xfId="20521" xr:uid="{00000000-0005-0000-0000-000029500000}"/>
    <cellStyle name="Normal 240 2 6 2" xfId="20522" xr:uid="{00000000-0005-0000-0000-00002A500000}"/>
    <cellStyle name="Normal 240 2 6 2 2" xfId="20523" xr:uid="{00000000-0005-0000-0000-00002B500000}"/>
    <cellStyle name="Normal 240 2 6 3" xfId="20524" xr:uid="{00000000-0005-0000-0000-00002C500000}"/>
    <cellStyle name="Normal 240 2 7" xfId="20525" xr:uid="{00000000-0005-0000-0000-00002D500000}"/>
    <cellStyle name="Normal 240 3" xfId="20526" xr:uid="{00000000-0005-0000-0000-00002E500000}"/>
    <cellStyle name="Normal 240 3 2" xfId="20527" xr:uid="{00000000-0005-0000-0000-00002F500000}"/>
    <cellStyle name="Normal 240 3 2 2" xfId="20528" xr:uid="{00000000-0005-0000-0000-000030500000}"/>
    <cellStyle name="Normal 240 3 3" xfId="20529" xr:uid="{00000000-0005-0000-0000-000031500000}"/>
    <cellStyle name="Normal 240 3 3 2" xfId="20530" xr:uid="{00000000-0005-0000-0000-000032500000}"/>
    <cellStyle name="Normal 240 3 3 2 2" xfId="20531" xr:uid="{00000000-0005-0000-0000-000033500000}"/>
    <cellStyle name="Normal 240 3 3 3" xfId="20532" xr:uid="{00000000-0005-0000-0000-000034500000}"/>
    <cellStyle name="Normal 240 3 4" xfId="20533" xr:uid="{00000000-0005-0000-0000-000035500000}"/>
    <cellStyle name="Normal 240 3 4 2" xfId="20534" xr:uid="{00000000-0005-0000-0000-000036500000}"/>
    <cellStyle name="Normal 240 3 4 2 2" xfId="20535" xr:uid="{00000000-0005-0000-0000-000037500000}"/>
    <cellStyle name="Normal 240 3 4 3" xfId="20536" xr:uid="{00000000-0005-0000-0000-000038500000}"/>
    <cellStyle name="Normal 240 3 5" xfId="20537" xr:uid="{00000000-0005-0000-0000-000039500000}"/>
    <cellStyle name="Normal 240 4" xfId="20538" xr:uid="{00000000-0005-0000-0000-00003A500000}"/>
    <cellStyle name="Normal 240 4 2" xfId="20539" xr:uid="{00000000-0005-0000-0000-00003B500000}"/>
    <cellStyle name="Normal 240 4 2 2" xfId="20540" xr:uid="{00000000-0005-0000-0000-00003C500000}"/>
    <cellStyle name="Normal 240 4 2 2 2" xfId="20541" xr:uid="{00000000-0005-0000-0000-00003D500000}"/>
    <cellStyle name="Normal 240 4 2 3" xfId="20542" xr:uid="{00000000-0005-0000-0000-00003E500000}"/>
    <cellStyle name="Normal 240 4 2 3 2" xfId="20543" xr:uid="{00000000-0005-0000-0000-00003F500000}"/>
    <cellStyle name="Normal 240 4 2 3 2 2" xfId="20544" xr:uid="{00000000-0005-0000-0000-000040500000}"/>
    <cellStyle name="Normal 240 4 2 3 3" xfId="20545" xr:uid="{00000000-0005-0000-0000-000041500000}"/>
    <cellStyle name="Normal 240 4 2 4" xfId="20546" xr:uid="{00000000-0005-0000-0000-000042500000}"/>
    <cellStyle name="Normal 240 4 3" xfId="20547" xr:uid="{00000000-0005-0000-0000-000043500000}"/>
    <cellStyle name="Normal 240 4 3 2" xfId="20548" xr:uid="{00000000-0005-0000-0000-000044500000}"/>
    <cellStyle name="Normal 240 4 3 2 2" xfId="20549" xr:uid="{00000000-0005-0000-0000-000045500000}"/>
    <cellStyle name="Normal 240 4 3 3" xfId="20550" xr:uid="{00000000-0005-0000-0000-000046500000}"/>
    <cellStyle name="Normal 240 4 4" xfId="20551" xr:uid="{00000000-0005-0000-0000-000047500000}"/>
    <cellStyle name="Normal 240 4 4 2" xfId="20552" xr:uid="{00000000-0005-0000-0000-000048500000}"/>
    <cellStyle name="Normal 240 4 4 2 2" xfId="20553" xr:uid="{00000000-0005-0000-0000-000049500000}"/>
    <cellStyle name="Normal 240 4 4 3" xfId="20554" xr:uid="{00000000-0005-0000-0000-00004A500000}"/>
    <cellStyle name="Normal 240 4 5" xfId="20555" xr:uid="{00000000-0005-0000-0000-00004B500000}"/>
    <cellStyle name="Normal 240 4 5 2" xfId="20556" xr:uid="{00000000-0005-0000-0000-00004C500000}"/>
    <cellStyle name="Normal 240 4 5 2 2" xfId="20557" xr:uid="{00000000-0005-0000-0000-00004D500000}"/>
    <cellStyle name="Normal 240 4 5 3" xfId="20558" xr:uid="{00000000-0005-0000-0000-00004E500000}"/>
    <cellStyle name="Normal 240 4 6" xfId="20559" xr:uid="{00000000-0005-0000-0000-00004F500000}"/>
    <cellStyle name="Normal 240 5" xfId="20560" xr:uid="{00000000-0005-0000-0000-000050500000}"/>
    <cellStyle name="Normal 240 5 2" xfId="20561" xr:uid="{00000000-0005-0000-0000-000051500000}"/>
    <cellStyle name="Normal 240 5 2 2" xfId="20562" xr:uid="{00000000-0005-0000-0000-000052500000}"/>
    <cellStyle name="Normal 240 5 3" xfId="20563" xr:uid="{00000000-0005-0000-0000-000053500000}"/>
    <cellStyle name="Normal 240 6" xfId="20564" xr:uid="{00000000-0005-0000-0000-000054500000}"/>
    <cellStyle name="Normal 240 6 2" xfId="20565" xr:uid="{00000000-0005-0000-0000-000055500000}"/>
    <cellStyle name="Normal 240 6 2 2" xfId="20566" xr:uid="{00000000-0005-0000-0000-000056500000}"/>
    <cellStyle name="Normal 240 6 3" xfId="20567" xr:uid="{00000000-0005-0000-0000-000057500000}"/>
    <cellStyle name="Normal 240 7" xfId="20568" xr:uid="{00000000-0005-0000-0000-000058500000}"/>
    <cellStyle name="Normal 240 7 2" xfId="20569" xr:uid="{00000000-0005-0000-0000-000059500000}"/>
    <cellStyle name="Normal 240 7 2 2" xfId="20570" xr:uid="{00000000-0005-0000-0000-00005A500000}"/>
    <cellStyle name="Normal 240 7 3" xfId="20571" xr:uid="{00000000-0005-0000-0000-00005B500000}"/>
    <cellStyle name="Normal 240 8" xfId="20572" xr:uid="{00000000-0005-0000-0000-00005C500000}"/>
    <cellStyle name="Normal 241" xfId="20573" xr:uid="{00000000-0005-0000-0000-00005D500000}"/>
    <cellStyle name="Normal 241 2" xfId="20574" xr:uid="{00000000-0005-0000-0000-00005E500000}"/>
    <cellStyle name="Normal 241 2 2" xfId="20575" xr:uid="{00000000-0005-0000-0000-00005F500000}"/>
    <cellStyle name="Normal 241 2 2 2" xfId="20576" xr:uid="{00000000-0005-0000-0000-000060500000}"/>
    <cellStyle name="Normal 241 2 2 2 2" xfId="20577" xr:uid="{00000000-0005-0000-0000-000061500000}"/>
    <cellStyle name="Normal 241 2 2 3" xfId="20578" xr:uid="{00000000-0005-0000-0000-000062500000}"/>
    <cellStyle name="Normal 241 2 2 3 2" xfId="20579" xr:uid="{00000000-0005-0000-0000-000063500000}"/>
    <cellStyle name="Normal 241 2 2 3 2 2" xfId="20580" xr:uid="{00000000-0005-0000-0000-000064500000}"/>
    <cellStyle name="Normal 241 2 2 3 3" xfId="20581" xr:uid="{00000000-0005-0000-0000-000065500000}"/>
    <cellStyle name="Normal 241 2 2 4" xfId="20582" xr:uid="{00000000-0005-0000-0000-000066500000}"/>
    <cellStyle name="Normal 241 2 2 4 2" xfId="20583" xr:uid="{00000000-0005-0000-0000-000067500000}"/>
    <cellStyle name="Normal 241 2 2 4 2 2" xfId="20584" xr:uid="{00000000-0005-0000-0000-000068500000}"/>
    <cellStyle name="Normal 241 2 2 4 3" xfId="20585" xr:uid="{00000000-0005-0000-0000-000069500000}"/>
    <cellStyle name="Normal 241 2 2 5" xfId="20586" xr:uid="{00000000-0005-0000-0000-00006A500000}"/>
    <cellStyle name="Normal 241 2 3" xfId="20587" xr:uid="{00000000-0005-0000-0000-00006B500000}"/>
    <cellStyle name="Normal 241 2 3 2" xfId="20588" xr:uid="{00000000-0005-0000-0000-00006C500000}"/>
    <cellStyle name="Normal 241 2 3 2 2" xfId="20589" xr:uid="{00000000-0005-0000-0000-00006D500000}"/>
    <cellStyle name="Normal 241 2 3 2 2 2" xfId="20590" xr:uid="{00000000-0005-0000-0000-00006E500000}"/>
    <cellStyle name="Normal 241 2 3 2 3" xfId="20591" xr:uid="{00000000-0005-0000-0000-00006F500000}"/>
    <cellStyle name="Normal 241 2 3 2 3 2" xfId="20592" xr:uid="{00000000-0005-0000-0000-000070500000}"/>
    <cellStyle name="Normal 241 2 3 2 3 2 2" xfId="20593" xr:uid="{00000000-0005-0000-0000-000071500000}"/>
    <cellStyle name="Normal 241 2 3 2 3 3" xfId="20594" xr:uid="{00000000-0005-0000-0000-000072500000}"/>
    <cellStyle name="Normal 241 2 3 2 4" xfId="20595" xr:uid="{00000000-0005-0000-0000-000073500000}"/>
    <cellStyle name="Normal 241 2 3 3" xfId="20596" xr:uid="{00000000-0005-0000-0000-000074500000}"/>
    <cellStyle name="Normal 241 2 3 3 2" xfId="20597" xr:uid="{00000000-0005-0000-0000-000075500000}"/>
    <cellStyle name="Normal 241 2 3 3 2 2" xfId="20598" xr:uid="{00000000-0005-0000-0000-000076500000}"/>
    <cellStyle name="Normal 241 2 3 3 3" xfId="20599" xr:uid="{00000000-0005-0000-0000-000077500000}"/>
    <cellStyle name="Normal 241 2 3 4" xfId="20600" xr:uid="{00000000-0005-0000-0000-000078500000}"/>
    <cellStyle name="Normal 241 2 3 4 2" xfId="20601" xr:uid="{00000000-0005-0000-0000-000079500000}"/>
    <cellStyle name="Normal 241 2 3 4 2 2" xfId="20602" xr:uid="{00000000-0005-0000-0000-00007A500000}"/>
    <cellStyle name="Normal 241 2 3 4 3" xfId="20603" xr:uid="{00000000-0005-0000-0000-00007B500000}"/>
    <cellStyle name="Normal 241 2 3 5" xfId="20604" xr:uid="{00000000-0005-0000-0000-00007C500000}"/>
    <cellStyle name="Normal 241 2 3 5 2" xfId="20605" xr:uid="{00000000-0005-0000-0000-00007D500000}"/>
    <cellStyle name="Normal 241 2 3 5 2 2" xfId="20606" xr:uid="{00000000-0005-0000-0000-00007E500000}"/>
    <cellStyle name="Normal 241 2 3 5 3" xfId="20607" xr:uid="{00000000-0005-0000-0000-00007F500000}"/>
    <cellStyle name="Normal 241 2 3 6" xfId="20608" xr:uid="{00000000-0005-0000-0000-000080500000}"/>
    <cellStyle name="Normal 241 2 4" xfId="20609" xr:uid="{00000000-0005-0000-0000-000081500000}"/>
    <cellStyle name="Normal 241 2 4 2" xfId="20610" xr:uid="{00000000-0005-0000-0000-000082500000}"/>
    <cellStyle name="Normal 241 2 4 2 2" xfId="20611" xr:uid="{00000000-0005-0000-0000-000083500000}"/>
    <cellStyle name="Normal 241 2 4 3" xfId="20612" xr:uid="{00000000-0005-0000-0000-000084500000}"/>
    <cellStyle name="Normal 241 2 5" xfId="20613" xr:uid="{00000000-0005-0000-0000-000085500000}"/>
    <cellStyle name="Normal 241 2 5 2" xfId="20614" xr:uid="{00000000-0005-0000-0000-000086500000}"/>
    <cellStyle name="Normal 241 2 5 2 2" xfId="20615" xr:uid="{00000000-0005-0000-0000-000087500000}"/>
    <cellStyle name="Normal 241 2 5 3" xfId="20616" xr:uid="{00000000-0005-0000-0000-000088500000}"/>
    <cellStyle name="Normal 241 2 6" xfId="20617" xr:uid="{00000000-0005-0000-0000-000089500000}"/>
    <cellStyle name="Normal 241 2 6 2" xfId="20618" xr:uid="{00000000-0005-0000-0000-00008A500000}"/>
    <cellStyle name="Normal 241 2 6 2 2" xfId="20619" xr:uid="{00000000-0005-0000-0000-00008B500000}"/>
    <cellStyle name="Normal 241 2 6 3" xfId="20620" xr:uid="{00000000-0005-0000-0000-00008C500000}"/>
    <cellStyle name="Normal 241 2 7" xfId="20621" xr:uid="{00000000-0005-0000-0000-00008D500000}"/>
    <cellStyle name="Normal 241 3" xfId="20622" xr:uid="{00000000-0005-0000-0000-00008E500000}"/>
    <cellStyle name="Normal 241 3 2" xfId="20623" xr:uid="{00000000-0005-0000-0000-00008F500000}"/>
    <cellStyle name="Normal 241 3 2 2" xfId="20624" xr:uid="{00000000-0005-0000-0000-000090500000}"/>
    <cellStyle name="Normal 241 3 3" xfId="20625" xr:uid="{00000000-0005-0000-0000-000091500000}"/>
    <cellStyle name="Normal 241 3 3 2" xfId="20626" xr:uid="{00000000-0005-0000-0000-000092500000}"/>
    <cellStyle name="Normal 241 3 3 2 2" xfId="20627" xr:uid="{00000000-0005-0000-0000-000093500000}"/>
    <cellStyle name="Normal 241 3 3 3" xfId="20628" xr:uid="{00000000-0005-0000-0000-000094500000}"/>
    <cellStyle name="Normal 241 3 4" xfId="20629" xr:uid="{00000000-0005-0000-0000-000095500000}"/>
    <cellStyle name="Normal 241 3 4 2" xfId="20630" xr:uid="{00000000-0005-0000-0000-000096500000}"/>
    <cellStyle name="Normal 241 3 4 2 2" xfId="20631" xr:uid="{00000000-0005-0000-0000-000097500000}"/>
    <cellStyle name="Normal 241 3 4 3" xfId="20632" xr:uid="{00000000-0005-0000-0000-000098500000}"/>
    <cellStyle name="Normal 241 3 5" xfId="20633" xr:uid="{00000000-0005-0000-0000-000099500000}"/>
    <cellStyle name="Normal 241 4" xfId="20634" xr:uid="{00000000-0005-0000-0000-00009A500000}"/>
    <cellStyle name="Normal 241 4 2" xfId="20635" xr:uid="{00000000-0005-0000-0000-00009B500000}"/>
    <cellStyle name="Normal 241 4 2 2" xfId="20636" xr:uid="{00000000-0005-0000-0000-00009C500000}"/>
    <cellStyle name="Normal 241 4 2 2 2" xfId="20637" xr:uid="{00000000-0005-0000-0000-00009D500000}"/>
    <cellStyle name="Normal 241 4 2 3" xfId="20638" xr:uid="{00000000-0005-0000-0000-00009E500000}"/>
    <cellStyle name="Normal 241 4 2 3 2" xfId="20639" xr:uid="{00000000-0005-0000-0000-00009F500000}"/>
    <cellStyle name="Normal 241 4 2 3 2 2" xfId="20640" xr:uid="{00000000-0005-0000-0000-0000A0500000}"/>
    <cellStyle name="Normal 241 4 2 3 3" xfId="20641" xr:uid="{00000000-0005-0000-0000-0000A1500000}"/>
    <cellStyle name="Normal 241 4 2 4" xfId="20642" xr:uid="{00000000-0005-0000-0000-0000A2500000}"/>
    <cellStyle name="Normal 241 4 3" xfId="20643" xr:uid="{00000000-0005-0000-0000-0000A3500000}"/>
    <cellStyle name="Normal 241 4 3 2" xfId="20644" xr:uid="{00000000-0005-0000-0000-0000A4500000}"/>
    <cellStyle name="Normal 241 4 3 2 2" xfId="20645" xr:uid="{00000000-0005-0000-0000-0000A5500000}"/>
    <cellStyle name="Normal 241 4 3 3" xfId="20646" xr:uid="{00000000-0005-0000-0000-0000A6500000}"/>
    <cellStyle name="Normal 241 4 4" xfId="20647" xr:uid="{00000000-0005-0000-0000-0000A7500000}"/>
    <cellStyle name="Normal 241 4 4 2" xfId="20648" xr:uid="{00000000-0005-0000-0000-0000A8500000}"/>
    <cellStyle name="Normal 241 4 4 2 2" xfId="20649" xr:uid="{00000000-0005-0000-0000-0000A9500000}"/>
    <cellStyle name="Normal 241 4 4 3" xfId="20650" xr:uid="{00000000-0005-0000-0000-0000AA500000}"/>
    <cellStyle name="Normal 241 4 5" xfId="20651" xr:uid="{00000000-0005-0000-0000-0000AB500000}"/>
    <cellStyle name="Normal 241 4 5 2" xfId="20652" xr:uid="{00000000-0005-0000-0000-0000AC500000}"/>
    <cellStyle name="Normal 241 4 5 2 2" xfId="20653" xr:uid="{00000000-0005-0000-0000-0000AD500000}"/>
    <cellStyle name="Normal 241 4 5 3" xfId="20654" xr:uid="{00000000-0005-0000-0000-0000AE500000}"/>
    <cellStyle name="Normal 241 4 6" xfId="20655" xr:uid="{00000000-0005-0000-0000-0000AF500000}"/>
    <cellStyle name="Normal 241 5" xfId="20656" xr:uid="{00000000-0005-0000-0000-0000B0500000}"/>
    <cellStyle name="Normal 241 5 2" xfId="20657" xr:uid="{00000000-0005-0000-0000-0000B1500000}"/>
    <cellStyle name="Normal 241 5 2 2" xfId="20658" xr:uid="{00000000-0005-0000-0000-0000B2500000}"/>
    <cellStyle name="Normal 241 5 3" xfId="20659" xr:uid="{00000000-0005-0000-0000-0000B3500000}"/>
    <cellStyle name="Normal 241 6" xfId="20660" xr:uid="{00000000-0005-0000-0000-0000B4500000}"/>
    <cellStyle name="Normal 241 6 2" xfId="20661" xr:uid="{00000000-0005-0000-0000-0000B5500000}"/>
    <cellStyle name="Normal 241 6 2 2" xfId="20662" xr:uid="{00000000-0005-0000-0000-0000B6500000}"/>
    <cellStyle name="Normal 241 6 3" xfId="20663" xr:uid="{00000000-0005-0000-0000-0000B7500000}"/>
    <cellStyle name="Normal 241 7" xfId="20664" xr:uid="{00000000-0005-0000-0000-0000B8500000}"/>
    <cellStyle name="Normal 241 7 2" xfId="20665" xr:uid="{00000000-0005-0000-0000-0000B9500000}"/>
    <cellStyle name="Normal 241 7 2 2" xfId="20666" xr:uid="{00000000-0005-0000-0000-0000BA500000}"/>
    <cellStyle name="Normal 241 7 3" xfId="20667" xr:uid="{00000000-0005-0000-0000-0000BB500000}"/>
    <cellStyle name="Normal 241 8" xfId="20668" xr:uid="{00000000-0005-0000-0000-0000BC500000}"/>
    <cellStyle name="Normal 242" xfId="20669" xr:uid="{00000000-0005-0000-0000-0000BD500000}"/>
    <cellStyle name="Normal 242 2" xfId="20670" xr:uid="{00000000-0005-0000-0000-0000BE500000}"/>
    <cellStyle name="Normal 242 2 2" xfId="20671" xr:uid="{00000000-0005-0000-0000-0000BF500000}"/>
    <cellStyle name="Normal 242 2 2 2" xfId="20672" xr:uid="{00000000-0005-0000-0000-0000C0500000}"/>
    <cellStyle name="Normal 242 2 2 2 2" xfId="20673" xr:uid="{00000000-0005-0000-0000-0000C1500000}"/>
    <cellStyle name="Normal 242 2 2 3" xfId="20674" xr:uid="{00000000-0005-0000-0000-0000C2500000}"/>
    <cellStyle name="Normal 242 2 2 3 2" xfId="20675" xr:uid="{00000000-0005-0000-0000-0000C3500000}"/>
    <cellStyle name="Normal 242 2 2 3 2 2" xfId="20676" xr:uid="{00000000-0005-0000-0000-0000C4500000}"/>
    <cellStyle name="Normal 242 2 2 3 3" xfId="20677" xr:uid="{00000000-0005-0000-0000-0000C5500000}"/>
    <cellStyle name="Normal 242 2 2 4" xfId="20678" xr:uid="{00000000-0005-0000-0000-0000C6500000}"/>
    <cellStyle name="Normal 242 2 2 4 2" xfId="20679" xr:uid="{00000000-0005-0000-0000-0000C7500000}"/>
    <cellStyle name="Normal 242 2 2 4 2 2" xfId="20680" xr:uid="{00000000-0005-0000-0000-0000C8500000}"/>
    <cellStyle name="Normal 242 2 2 4 3" xfId="20681" xr:uid="{00000000-0005-0000-0000-0000C9500000}"/>
    <cellStyle name="Normal 242 2 2 5" xfId="20682" xr:uid="{00000000-0005-0000-0000-0000CA500000}"/>
    <cellStyle name="Normal 242 2 3" xfId="20683" xr:uid="{00000000-0005-0000-0000-0000CB500000}"/>
    <cellStyle name="Normal 242 2 3 2" xfId="20684" xr:uid="{00000000-0005-0000-0000-0000CC500000}"/>
    <cellStyle name="Normal 242 2 3 2 2" xfId="20685" xr:uid="{00000000-0005-0000-0000-0000CD500000}"/>
    <cellStyle name="Normal 242 2 3 2 2 2" xfId="20686" xr:uid="{00000000-0005-0000-0000-0000CE500000}"/>
    <cellStyle name="Normal 242 2 3 2 3" xfId="20687" xr:uid="{00000000-0005-0000-0000-0000CF500000}"/>
    <cellStyle name="Normal 242 2 3 2 3 2" xfId="20688" xr:uid="{00000000-0005-0000-0000-0000D0500000}"/>
    <cellStyle name="Normal 242 2 3 2 3 2 2" xfId="20689" xr:uid="{00000000-0005-0000-0000-0000D1500000}"/>
    <cellStyle name="Normal 242 2 3 2 3 3" xfId="20690" xr:uid="{00000000-0005-0000-0000-0000D2500000}"/>
    <cellStyle name="Normal 242 2 3 2 4" xfId="20691" xr:uid="{00000000-0005-0000-0000-0000D3500000}"/>
    <cellStyle name="Normal 242 2 3 3" xfId="20692" xr:uid="{00000000-0005-0000-0000-0000D4500000}"/>
    <cellStyle name="Normal 242 2 3 3 2" xfId="20693" xr:uid="{00000000-0005-0000-0000-0000D5500000}"/>
    <cellStyle name="Normal 242 2 3 3 2 2" xfId="20694" xr:uid="{00000000-0005-0000-0000-0000D6500000}"/>
    <cellStyle name="Normal 242 2 3 3 3" xfId="20695" xr:uid="{00000000-0005-0000-0000-0000D7500000}"/>
    <cellStyle name="Normal 242 2 3 4" xfId="20696" xr:uid="{00000000-0005-0000-0000-0000D8500000}"/>
    <cellStyle name="Normal 242 2 3 4 2" xfId="20697" xr:uid="{00000000-0005-0000-0000-0000D9500000}"/>
    <cellStyle name="Normal 242 2 3 4 2 2" xfId="20698" xr:uid="{00000000-0005-0000-0000-0000DA500000}"/>
    <cellStyle name="Normal 242 2 3 4 3" xfId="20699" xr:uid="{00000000-0005-0000-0000-0000DB500000}"/>
    <cellStyle name="Normal 242 2 3 5" xfId="20700" xr:uid="{00000000-0005-0000-0000-0000DC500000}"/>
    <cellStyle name="Normal 242 2 3 5 2" xfId="20701" xr:uid="{00000000-0005-0000-0000-0000DD500000}"/>
    <cellStyle name="Normal 242 2 3 5 2 2" xfId="20702" xr:uid="{00000000-0005-0000-0000-0000DE500000}"/>
    <cellStyle name="Normal 242 2 3 5 3" xfId="20703" xr:uid="{00000000-0005-0000-0000-0000DF500000}"/>
    <cellStyle name="Normal 242 2 3 6" xfId="20704" xr:uid="{00000000-0005-0000-0000-0000E0500000}"/>
    <cellStyle name="Normal 242 2 4" xfId="20705" xr:uid="{00000000-0005-0000-0000-0000E1500000}"/>
    <cellStyle name="Normal 242 2 4 2" xfId="20706" xr:uid="{00000000-0005-0000-0000-0000E2500000}"/>
    <cellStyle name="Normal 242 2 4 2 2" xfId="20707" xr:uid="{00000000-0005-0000-0000-0000E3500000}"/>
    <cellStyle name="Normal 242 2 4 3" xfId="20708" xr:uid="{00000000-0005-0000-0000-0000E4500000}"/>
    <cellStyle name="Normal 242 2 5" xfId="20709" xr:uid="{00000000-0005-0000-0000-0000E5500000}"/>
    <cellStyle name="Normal 242 2 5 2" xfId="20710" xr:uid="{00000000-0005-0000-0000-0000E6500000}"/>
    <cellStyle name="Normal 242 2 5 2 2" xfId="20711" xr:uid="{00000000-0005-0000-0000-0000E7500000}"/>
    <cellStyle name="Normal 242 2 5 3" xfId="20712" xr:uid="{00000000-0005-0000-0000-0000E8500000}"/>
    <cellStyle name="Normal 242 2 6" xfId="20713" xr:uid="{00000000-0005-0000-0000-0000E9500000}"/>
    <cellStyle name="Normal 242 2 6 2" xfId="20714" xr:uid="{00000000-0005-0000-0000-0000EA500000}"/>
    <cellStyle name="Normal 242 2 6 2 2" xfId="20715" xr:uid="{00000000-0005-0000-0000-0000EB500000}"/>
    <cellStyle name="Normal 242 2 6 3" xfId="20716" xr:uid="{00000000-0005-0000-0000-0000EC500000}"/>
    <cellStyle name="Normal 242 2 7" xfId="20717" xr:uid="{00000000-0005-0000-0000-0000ED500000}"/>
    <cellStyle name="Normal 242 3" xfId="20718" xr:uid="{00000000-0005-0000-0000-0000EE500000}"/>
    <cellStyle name="Normal 242 3 2" xfId="20719" xr:uid="{00000000-0005-0000-0000-0000EF500000}"/>
    <cellStyle name="Normal 242 3 2 2" xfId="20720" xr:uid="{00000000-0005-0000-0000-0000F0500000}"/>
    <cellStyle name="Normal 242 3 3" xfId="20721" xr:uid="{00000000-0005-0000-0000-0000F1500000}"/>
    <cellStyle name="Normal 242 3 3 2" xfId="20722" xr:uid="{00000000-0005-0000-0000-0000F2500000}"/>
    <cellStyle name="Normal 242 3 3 2 2" xfId="20723" xr:uid="{00000000-0005-0000-0000-0000F3500000}"/>
    <cellStyle name="Normal 242 3 3 3" xfId="20724" xr:uid="{00000000-0005-0000-0000-0000F4500000}"/>
    <cellStyle name="Normal 242 3 4" xfId="20725" xr:uid="{00000000-0005-0000-0000-0000F5500000}"/>
    <cellStyle name="Normal 242 3 4 2" xfId="20726" xr:uid="{00000000-0005-0000-0000-0000F6500000}"/>
    <cellStyle name="Normal 242 3 4 2 2" xfId="20727" xr:uid="{00000000-0005-0000-0000-0000F7500000}"/>
    <cellStyle name="Normal 242 3 4 3" xfId="20728" xr:uid="{00000000-0005-0000-0000-0000F8500000}"/>
    <cellStyle name="Normal 242 3 5" xfId="20729" xr:uid="{00000000-0005-0000-0000-0000F9500000}"/>
    <cellStyle name="Normal 242 4" xfId="20730" xr:uid="{00000000-0005-0000-0000-0000FA500000}"/>
    <cellStyle name="Normal 242 4 2" xfId="20731" xr:uid="{00000000-0005-0000-0000-0000FB500000}"/>
    <cellStyle name="Normal 242 4 2 2" xfId="20732" xr:uid="{00000000-0005-0000-0000-0000FC500000}"/>
    <cellStyle name="Normal 242 4 2 2 2" xfId="20733" xr:uid="{00000000-0005-0000-0000-0000FD500000}"/>
    <cellStyle name="Normal 242 4 2 3" xfId="20734" xr:uid="{00000000-0005-0000-0000-0000FE500000}"/>
    <cellStyle name="Normal 242 4 2 3 2" xfId="20735" xr:uid="{00000000-0005-0000-0000-0000FF500000}"/>
    <cellStyle name="Normal 242 4 2 3 2 2" xfId="20736" xr:uid="{00000000-0005-0000-0000-000000510000}"/>
    <cellStyle name="Normal 242 4 2 3 3" xfId="20737" xr:uid="{00000000-0005-0000-0000-000001510000}"/>
    <cellStyle name="Normal 242 4 2 4" xfId="20738" xr:uid="{00000000-0005-0000-0000-000002510000}"/>
    <cellStyle name="Normal 242 4 3" xfId="20739" xr:uid="{00000000-0005-0000-0000-000003510000}"/>
    <cellStyle name="Normal 242 4 3 2" xfId="20740" xr:uid="{00000000-0005-0000-0000-000004510000}"/>
    <cellStyle name="Normal 242 4 3 2 2" xfId="20741" xr:uid="{00000000-0005-0000-0000-000005510000}"/>
    <cellStyle name="Normal 242 4 3 3" xfId="20742" xr:uid="{00000000-0005-0000-0000-000006510000}"/>
    <cellStyle name="Normal 242 4 4" xfId="20743" xr:uid="{00000000-0005-0000-0000-000007510000}"/>
    <cellStyle name="Normal 242 4 4 2" xfId="20744" xr:uid="{00000000-0005-0000-0000-000008510000}"/>
    <cellStyle name="Normal 242 4 4 2 2" xfId="20745" xr:uid="{00000000-0005-0000-0000-000009510000}"/>
    <cellStyle name="Normal 242 4 4 3" xfId="20746" xr:uid="{00000000-0005-0000-0000-00000A510000}"/>
    <cellStyle name="Normal 242 4 5" xfId="20747" xr:uid="{00000000-0005-0000-0000-00000B510000}"/>
    <cellStyle name="Normal 242 4 5 2" xfId="20748" xr:uid="{00000000-0005-0000-0000-00000C510000}"/>
    <cellStyle name="Normal 242 4 5 2 2" xfId="20749" xr:uid="{00000000-0005-0000-0000-00000D510000}"/>
    <cellStyle name="Normal 242 4 5 3" xfId="20750" xr:uid="{00000000-0005-0000-0000-00000E510000}"/>
    <cellStyle name="Normal 242 4 6" xfId="20751" xr:uid="{00000000-0005-0000-0000-00000F510000}"/>
    <cellStyle name="Normal 242 5" xfId="20752" xr:uid="{00000000-0005-0000-0000-000010510000}"/>
    <cellStyle name="Normal 242 5 2" xfId="20753" xr:uid="{00000000-0005-0000-0000-000011510000}"/>
    <cellStyle name="Normal 242 5 2 2" xfId="20754" xr:uid="{00000000-0005-0000-0000-000012510000}"/>
    <cellStyle name="Normal 242 5 3" xfId="20755" xr:uid="{00000000-0005-0000-0000-000013510000}"/>
    <cellStyle name="Normal 242 6" xfId="20756" xr:uid="{00000000-0005-0000-0000-000014510000}"/>
    <cellStyle name="Normal 242 6 2" xfId="20757" xr:uid="{00000000-0005-0000-0000-000015510000}"/>
    <cellStyle name="Normal 242 6 2 2" xfId="20758" xr:uid="{00000000-0005-0000-0000-000016510000}"/>
    <cellStyle name="Normal 242 6 3" xfId="20759" xr:uid="{00000000-0005-0000-0000-000017510000}"/>
    <cellStyle name="Normal 242 7" xfId="20760" xr:uid="{00000000-0005-0000-0000-000018510000}"/>
    <cellStyle name="Normal 242 7 2" xfId="20761" xr:uid="{00000000-0005-0000-0000-000019510000}"/>
    <cellStyle name="Normal 242 7 2 2" xfId="20762" xr:uid="{00000000-0005-0000-0000-00001A510000}"/>
    <cellStyle name="Normal 242 7 3" xfId="20763" xr:uid="{00000000-0005-0000-0000-00001B510000}"/>
    <cellStyle name="Normal 242 8" xfId="20764" xr:uid="{00000000-0005-0000-0000-00001C510000}"/>
    <cellStyle name="Normal 243" xfId="20765" xr:uid="{00000000-0005-0000-0000-00001D510000}"/>
    <cellStyle name="Normal 243 2" xfId="20766" xr:uid="{00000000-0005-0000-0000-00001E510000}"/>
    <cellStyle name="Normal 243 2 2" xfId="20767" xr:uid="{00000000-0005-0000-0000-00001F510000}"/>
    <cellStyle name="Normal 243 2 2 2" xfId="20768" xr:uid="{00000000-0005-0000-0000-000020510000}"/>
    <cellStyle name="Normal 243 2 2 2 2" xfId="20769" xr:uid="{00000000-0005-0000-0000-000021510000}"/>
    <cellStyle name="Normal 243 2 2 3" xfId="20770" xr:uid="{00000000-0005-0000-0000-000022510000}"/>
    <cellStyle name="Normal 243 2 2 3 2" xfId="20771" xr:uid="{00000000-0005-0000-0000-000023510000}"/>
    <cellStyle name="Normal 243 2 2 3 2 2" xfId="20772" xr:uid="{00000000-0005-0000-0000-000024510000}"/>
    <cellStyle name="Normal 243 2 2 3 3" xfId="20773" xr:uid="{00000000-0005-0000-0000-000025510000}"/>
    <cellStyle name="Normal 243 2 2 4" xfId="20774" xr:uid="{00000000-0005-0000-0000-000026510000}"/>
    <cellStyle name="Normal 243 2 2 4 2" xfId="20775" xr:uid="{00000000-0005-0000-0000-000027510000}"/>
    <cellStyle name="Normal 243 2 2 4 2 2" xfId="20776" xr:uid="{00000000-0005-0000-0000-000028510000}"/>
    <cellStyle name="Normal 243 2 2 4 3" xfId="20777" xr:uid="{00000000-0005-0000-0000-000029510000}"/>
    <cellStyle name="Normal 243 2 2 5" xfId="20778" xr:uid="{00000000-0005-0000-0000-00002A510000}"/>
    <cellStyle name="Normal 243 2 3" xfId="20779" xr:uid="{00000000-0005-0000-0000-00002B510000}"/>
    <cellStyle name="Normal 243 2 3 2" xfId="20780" xr:uid="{00000000-0005-0000-0000-00002C510000}"/>
    <cellStyle name="Normal 243 2 3 2 2" xfId="20781" xr:uid="{00000000-0005-0000-0000-00002D510000}"/>
    <cellStyle name="Normal 243 2 3 2 2 2" xfId="20782" xr:uid="{00000000-0005-0000-0000-00002E510000}"/>
    <cellStyle name="Normal 243 2 3 2 3" xfId="20783" xr:uid="{00000000-0005-0000-0000-00002F510000}"/>
    <cellStyle name="Normal 243 2 3 2 3 2" xfId="20784" xr:uid="{00000000-0005-0000-0000-000030510000}"/>
    <cellStyle name="Normal 243 2 3 2 3 2 2" xfId="20785" xr:uid="{00000000-0005-0000-0000-000031510000}"/>
    <cellStyle name="Normal 243 2 3 2 3 3" xfId="20786" xr:uid="{00000000-0005-0000-0000-000032510000}"/>
    <cellStyle name="Normal 243 2 3 2 4" xfId="20787" xr:uid="{00000000-0005-0000-0000-000033510000}"/>
    <cellStyle name="Normal 243 2 3 3" xfId="20788" xr:uid="{00000000-0005-0000-0000-000034510000}"/>
    <cellStyle name="Normal 243 2 3 3 2" xfId="20789" xr:uid="{00000000-0005-0000-0000-000035510000}"/>
    <cellStyle name="Normal 243 2 3 3 2 2" xfId="20790" xr:uid="{00000000-0005-0000-0000-000036510000}"/>
    <cellStyle name="Normal 243 2 3 3 3" xfId="20791" xr:uid="{00000000-0005-0000-0000-000037510000}"/>
    <cellStyle name="Normal 243 2 3 4" xfId="20792" xr:uid="{00000000-0005-0000-0000-000038510000}"/>
    <cellStyle name="Normal 243 2 3 4 2" xfId="20793" xr:uid="{00000000-0005-0000-0000-000039510000}"/>
    <cellStyle name="Normal 243 2 3 4 2 2" xfId="20794" xr:uid="{00000000-0005-0000-0000-00003A510000}"/>
    <cellStyle name="Normal 243 2 3 4 3" xfId="20795" xr:uid="{00000000-0005-0000-0000-00003B510000}"/>
    <cellStyle name="Normal 243 2 3 5" xfId="20796" xr:uid="{00000000-0005-0000-0000-00003C510000}"/>
    <cellStyle name="Normal 243 2 3 5 2" xfId="20797" xr:uid="{00000000-0005-0000-0000-00003D510000}"/>
    <cellStyle name="Normal 243 2 3 5 2 2" xfId="20798" xr:uid="{00000000-0005-0000-0000-00003E510000}"/>
    <cellStyle name="Normal 243 2 3 5 3" xfId="20799" xr:uid="{00000000-0005-0000-0000-00003F510000}"/>
    <cellStyle name="Normal 243 2 3 6" xfId="20800" xr:uid="{00000000-0005-0000-0000-000040510000}"/>
    <cellStyle name="Normal 243 2 4" xfId="20801" xr:uid="{00000000-0005-0000-0000-000041510000}"/>
    <cellStyle name="Normal 243 2 4 2" xfId="20802" xr:uid="{00000000-0005-0000-0000-000042510000}"/>
    <cellStyle name="Normal 243 2 4 2 2" xfId="20803" xr:uid="{00000000-0005-0000-0000-000043510000}"/>
    <cellStyle name="Normal 243 2 4 3" xfId="20804" xr:uid="{00000000-0005-0000-0000-000044510000}"/>
    <cellStyle name="Normal 243 2 5" xfId="20805" xr:uid="{00000000-0005-0000-0000-000045510000}"/>
    <cellStyle name="Normal 243 2 5 2" xfId="20806" xr:uid="{00000000-0005-0000-0000-000046510000}"/>
    <cellStyle name="Normal 243 2 5 2 2" xfId="20807" xr:uid="{00000000-0005-0000-0000-000047510000}"/>
    <cellStyle name="Normal 243 2 5 3" xfId="20808" xr:uid="{00000000-0005-0000-0000-000048510000}"/>
    <cellStyle name="Normal 243 2 6" xfId="20809" xr:uid="{00000000-0005-0000-0000-000049510000}"/>
    <cellStyle name="Normal 243 2 6 2" xfId="20810" xr:uid="{00000000-0005-0000-0000-00004A510000}"/>
    <cellStyle name="Normal 243 2 6 2 2" xfId="20811" xr:uid="{00000000-0005-0000-0000-00004B510000}"/>
    <cellStyle name="Normal 243 2 6 3" xfId="20812" xr:uid="{00000000-0005-0000-0000-00004C510000}"/>
    <cellStyle name="Normal 243 2 7" xfId="20813" xr:uid="{00000000-0005-0000-0000-00004D510000}"/>
    <cellStyle name="Normal 243 3" xfId="20814" xr:uid="{00000000-0005-0000-0000-00004E510000}"/>
    <cellStyle name="Normal 243 3 2" xfId="20815" xr:uid="{00000000-0005-0000-0000-00004F510000}"/>
    <cellStyle name="Normal 243 3 2 2" xfId="20816" xr:uid="{00000000-0005-0000-0000-000050510000}"/>
    <cellStyle name="Normal 243 3 3" xfId="20817" xr:uid="{00000000-0005-0000-0000-000051510000}"/>
    <cellStyle name="Normal 243 3 3 2" xfId="20818" xr:uid="{00000000-0005-0000-0000-000052510000}"/>
    <cellStyle name="Normal 243 3 3 2 2" xfId="20819" xr:uid="{00000000-0005-0000-0000-000053510000}"/>
    <cellStyle name="Normal 243 3 3 3" xfId="20820" xr:uid="{00000000-0005-0000-0000-000054510000}"/>
    <cellStyle name="Normal 243 3 4" xfId="20821" xr:uid="{00000000-0005-0000-0000-000055510000}"/>
    <cellStyle name="Normal 243 3 4 2" xfId="20822" xr:uid="{00000000-0005-0000-0000-000056510000}"/>
    <cellStyle name="Normal 243 3 4 2 2" xfId="20823" xr:uid="{00000000-0005-0000-0000-000057510000}"/>
    <cellStyle name="Normal 243 3 4 3" xfId="20824" xr:uid="{00000000-0005-0000-0000-000058510000}"/>
    <cellStyle name="Normal 243 3 5" xfId="20825" xr:uid="{00000000-0005-0000-0000-000059510000}"/>
    <cellStyle name="Normal 243 4" xfId="20826" xr:uid="{00000000-0005-0000-0000-00005A510000}"/>
    <cellStyle name="Normal 243 4 2" xfId="20827" xr:uid="{00000000-0005-0000-0000-00005B510000}"/>
    <cellStyle name="Normal 243 4 2 2" xfId="20828" xr:uid="{00000000-0005-0000-0000-00005C510000}"/>
    <cellStyle name="Normal 243 4 2 2 2" xfId="20829" xr:uid="{00000000-0005-0000-0000-00005D510000}"/>
    <cellStyle name="Normal 243 4 2 3" xfId="20830" xr:uid="{00000000-0005-0000-0000-00005E510000}"/>
    <cellStyle name="Normal 243 4 2 3 2" xfId="20831" xr:uid="{00000000-0005-0000-0000-00005F510000}"/>
    <cellStyle name="Normal 243 4 2 3 2 2" xfId="20832" xr:uid="{00000000-0005-0000-0000-000060510000}"/>
    <cellStyle name="Normal 243 4 2 3 3" xfId="20833" xr:uid="{00000000-0005-0000-0000-000061510000}"/>
    <cellStyle name="Normal 243 4 2 4" xfId="20834" xr:uid="{00000000-0005-0000-0000-000062510000}"/>
    <cellStyle name="Normal 243 4 3" xfId="20835" xr:uid="{00000000-0005-0000-0000-000063510000}"/>
    <cellStyle name="Normal 243 4 3 2" xfId="20836" xr:uid="{00000000-0005-0000-0000-000064510000}"/>
    <cellStyle name="Normal 243 4 3 2 2" xfId="20837" xr:uid="{00000000-0005-0000-0000-000065510000}"/>
    <cellStyle name="Normal 243 4 3 3" xfId="20838" xr:uid="{00000000-0005-0000-0000-000066510000}"/>
    <cellStyle name="Normal 243 4 4" xfId="20839" xr:uid="{00000000-0005-0000-0000-000067510000}"/>
    <cellStyle name="Normal 243 4 4 2" xfId="20840" xr:uid="{00000000-0005-0000-0000-000068510000}"/>
    <cellStyle name="Normal 243 4 4 2 2" xfId="20841" xr:uid="{00000000-0005-0000-0000-000069510000}"/>
    <cellStyle name="Normal 243 4 4 3" xfId="20842" xr:uid="{00000000-0005-0000-0000-00006A510000}"/>
    <cellStyle name="Normal 243 4 5" xfId="20843" xr:uid="{00000000-0005-0000-0000-00006B510000}"/>
    <cellStyle name="Normal 243 4 5 2" xfId="20844" xr:uid="{00000000-0005-0000-0000-00006C510000}"/>
    <cellStyle name="Normal 243 4 5 2 2" xfId="20845" xr:uid="{00000000-0005-0000-0000-00006D510000}"/>
    <cellStyle name="Normal 243 4 5 3" xfId="20846" xr:uid="{00000000-0005-0000-0000-00006E510000}"/>
    <cellStyle name="Normal 243 4 6" xfId="20847" xr:uid="{00000000-0005-0000-0000-00006F510000}"/>
    <cellStyle name="Normal 243 5" xfId="20848" xr:uid="{00000000-0005-0000-0000-000070510000}"/>
    <cellStyle name="Normal 243 5 2" xfId="20849" xr:uid="{00000000-0005-0000-0000-000071510000}"/>
    <cellStyle name="Normal 243 5 2 2" xfId="20850" xr:uid="{00000000-0005-0000-0000-000072510000}"/>
    <cellStyle name="Normal 243 5 3" xfId="20851" xr:uid="{00000000-0005-0000-0000-000073510000}"/>
    <cellStyle name="Normal 243 6" xfId="20852" xr:uid="{00000000-0005-0000-0000-000074510000}"/>
    <cellStyle name="Normal 243 6 2" xfId="20853" xr:uid="{00000000-0005-0000-0000-000075510000}"/>
    <cellStyle name="Normal 243 6 2 2" xfId="20854" xr:uid="{00000000-0005-0000-0000-000076510000}"/>
    <cellStyle name="Normal 243 6 3" xfId="20855" xr:uid="{00000000-0005-0000-0000-000077510000}"/>
    <cellStyle name="Normal 243 7" xfId="20856" xr:uid="{00000000-0005-0000-0000-000078510000}"/>
    <cellStyle name="Normal 243 7 2" xfId="20857" xr:uid="{00000000-0005-0000-0000-000079510000}"/>
    <cellStyle name="Normal 243 7 2 2" xfId="20858" xr:uid="{00000000-0005-0000-0000-00007A510000}"/>
    <cellStyle name="Normal 243 7 3" xfId="20859" xr:uid="{00000000-0005-0000-0000-00007B510000}"/>
    <cellStyle name="Normal 243 8" xfId="20860" xr:uid="{00000000-0005-0000-0000-00007C510000}"/>
    <cellStyle name="Normal 244" xfId="20861" xr:uid="{00000000-0005-0000-0000-00007D510000}"/>
    <cellStyle name="Normal 244 2" xfId="20862" xr:uid="{00000000-0005-0000-0000-00007E510000}"/>
    <cellStyle name="Normal 244 2 2" xfId="20863" xr:uid="{00000000-0005-0000-0000-00007F510000}"/>
    <cellStyle name="Normal 244 2 2 2" xfId="20864" xr:uid="{00000000-0005-0000-0000-000080510000}"/>
    <cellStyle name="Normal 244 2 2 2 2" xfId="20865" xr:uid="{00000000-0005-0000-0000-000081510000}"/>
    <cellStyle name="Normal 244 2 2 3" xfId="20866" xr:uid="{00000000-0005-0000-0000-000082510000}"/>
    <cellStyle name="Normal 244 2 2 3 2" xfId="20867" xr:uid="{00000000-0005-0000-0000-000083510000}"/>
    <cellStyle name="Normal 244 2 2 3 2 2" xfId="20868" xr:uid="{00000000-0005-0000-0000-000084510000}"/>
    <cellStyle name="Normal 244 2 2 3 3" xfId="20869" xr:uid="{00000000-0005-0000-0000-000085510000}"/>
    <cellStyle name="Normal 244 2 2 4" xfId="20870" xr:uid="{00000000-0005-0000-0000-000086510000}"/>
    <cellStyle name="Normal 244 2 2 4 2" xfId="20871" xr:uid="{00000000-0005-0000-0000-000087510000}"/>
    <cellStyle name="Normal 244 2 2 4 2 2" xfId="20872" xr:uid="{00000000-0005-0000-0000-000088510000}"/>
    <cellStyle name="Normal 244 2 2 4 3" xfId="20873" xr:uid="{00000000-0005-0000-0000-000089510000}"/>
    <cellStyle name="Normal 244 2 2 5" xfId="20874" xr:uid="{00000000-0005-0000-0000-00008A510000}"/>
    <cellStyle name="Normal 244 2 3" xfId="20875" xr:uid="{00000000-0005-0000-0000-00008B510000}"/>
    <cellStyle name="Normal 244 2 3 2" xfId="20876" xr:uid="{00000000-0005-0000-0000-00008C510000}"/>
    <cellStyle name="Normal 244 2 3 2 2" xfId="20877" xr:uid="{00000000-0005-0000-0000-00008D510000}"/>
    <cellStyle name="Normal 244 2 3 2 2 2" xfId="20878" xr:uid="{00000000-0005-0000-0000-00008E510000}"/>
    <cellStyle name="Normal 244 2 3 2 3" xfId="20879" xr:uid="{00000000-0005-0000-0000-00008F510000}"/>
    <cellStyle name="Normal 244 2 3 2 3 2" xfId="20880" xr:uid="{00000000-0005-0000-0000-000090510000}"/>
    <cellStyle name="Normal 244 2 3 2 3 2 2" xfId="20881" xr:uid="{00000000-0005-0000-0000-000091510000}"/>
    <cellStyle name="Normal 244 2 3 2 3 3" xfId="20882" xr:uid="{00000000-0005-0000-0000-000092510000}"/>
    <cellStyle name="Normal 244 2 3 2 4" xfId="20883" xr:uid="{00000000-0005-0000-0000-000093510000}"/>
    <cellStyle name="Normal 244 2 3 3" xfId="20884" xr:uid="{00000000-0005-0000-0000-000094510000}"/>
    <cellStyle name="Normal 244 2 3 3 2" xfId="20885" xr:uid="{00000000-0005-0000-0000-000095510000}"/>
    <cellStyle name="Normal 244 2 3 3 2 2" xfId="20886" xr:uid="{00000000-0005-0000-0000-000096510000}"/>
    <cellStyle name="Normal 244 2 3 3 3" xfId="20887" xr:uid="{00000000-0005-0000-0000-000097510000}"/>
    <cellStyle name="Normal 244 2 3 4" xfId="20888" xr:uid="{00000000-0005-0000-0000-000098510000}"/>
    <cellStyle name="Normal 244 2 3 4 2" xfId="20889" xr:uid="{00000000-0005-0000-0000-000099510000}"/>
    <cellStyle name="Normal 244 2 3 4 2 2" xfId="20890" xr:uid="{00000000-0005-0000-0000-00009A510000}"/>
    <cellStyle name="Normal 244 2 3 4 3" xfId="20891" xr:uid="{00000000-0005-0000-0000-00009B510000}"/>
    <cellStyle name="Normal 244 2 3 5" xfId="20892" xr:uid="{00000000-0005-0000-0000-00009C510000}"/>
    <cellStyle name="Normal 244 2 3 5 2" xfId="20893" xr:uid="{00000000-0005-0000-0000-00009D510000}"/>
    <cellStyle name="Normal 244 2 3 5 2 2" xfId="20894" xr:uid="{00000000-0005-0000-0000-00009E510000}"/>
    <cellStyle name="Normal 244 2 3 5 3" xfId="20895" xr:uid="{00000000-0005-0000-0000-00009F510000}"/>
    <cellStyle name="Normal 244 2 3 6" xfId="20896" xr:uid="{00000000-0005-0000-0000-0000A0510000}"/>
    <cellStyle name="Normal 244 2 4" xfId="20897" xr:uid="{00000000-0005-0000-0000-0000A1510000}"/>
    <cellStyle name="Normal 244 2 4 2" xfId="20898" xr:uid="{00000000-0005-0000-0000-0000A2510000}"/>
    <cellStyle name="Normal 244 2 4 2 2" xfId="20899" xr:uid="{00000000-0005-0000-0000-0000A3510000}"/>
    <cellStyle name="Normal 244 2 4 3" xfId="20900" xr:uid="{00000000-0005-0000-0000-0000A4510000}"/>
    <cellStyle name="Normal 244 2 5" xfId="20901" xr:uid="{00000000-0005-0000-0000-0000A5510000}"/>
    <cellStyle name="Normal 244 2 5 2" xfId="20902" xr:uid="{00000000-0005-0000-0000-0000A6510000}"/>
    <cellStyle name="Normal 244 2 5 2 2" xfId="20903" xr:uid="{00000000-0005-0000-0000-0000A7510000}"/>
    <cellStyle name="Normal 244 2 5 3" xfId="20904" xr:uid="{00000000-0005-0000-0000-0000A8510000}"/>
    <cellStyle name="Normal 244 2 6" xfId="20905" xr:uid="{00000000-0005-0000-0000-0000A9510000}"/>
    <cellStyle name="Normal 244 2 6 2" xfId="20906" xr:uid="{00000000-0005-0000-0000-0000AA510000}"/>
    <cellStyle name="Normal 244 2 6 2 2" xfId="20907" xr:uid="{00000000-0005-0000-0000-0000AB510000}"/>
    <cellStyle name="Normal 244 2 6 3" xfId="20908" xr:uid="{00000000-0005-0000-0000-0000AC510000}"/>
    <cellStyle name="Normal 244 2 7" xfId="20909" xr:uid="{00000000-0005-0000-0000-0000AD510000}"/>
    <cellStyle name="Normal 244 3" xfId="20910" xr:uid="{00000000-0005-0000-0000-0000AE510000}"/>
    <cellStyle name="Normal 244 3 2" xfId="20911" xr:uid="{00000000-0005-0000-0000-0000AF510000}"/>
    <cellStyle name="Normal 244 3 2 2" xfId="20912" xr:uid="{00000000-0005-0000-0000-0000B0510000}"/>
    <cellStyle name="Normal 244 3 3" xfId="20913" xr:uid="{00000000-0005-0000-0000-0000B1510000}"/>
    <cellStyle name="Normal 244 3 3 2" xfId="20914" xr:uid="{00000000-0005-0000-0000-0000B2510000}"/>
    <cellStyle name="Normal 244 3 3 2 2" xfId="20915" xr:uid="{00000000-0005-0000-0000-0000B3510000}"/>
    <cellStyle name="Normal 244 3 3 3" xfId="20916" xr:uid="{00000000-0005-0000-0000-0000B4510000}"/>
    <cellStyle name="Normal 244 3 4" xfId="20917" xr:uid="{00000000-0005-0000-0000-0000B5510000}"/>
    <cellStyle name="Normal 244 3 4 2" xfId="20918" xr:uid="{00000000-0005-0000-0000-0000B6510000}"/>
    <cellStyle name="Normal 244 3 4 2 2" xfId="20919" xr:uid="{00000000-0005-0000-0000-0000B7510000}"/>
    <cellStyle name="Normal 244 3 4 3" xfId="20920" xr:uid="{00000000-0005-0000-0000-0000B8510000}"/>
    <cellStyle name="Normal 244 3 5" xfId="20921" xr:uid="{00000000-0005-0000-0000-0000B9510000}"/>
    <cellStyle name="Normal 244 4" xfId="20922" xr:uid="{00000000-0005-0000-0000-0000BA510000}"/>
    <cellStyle name="Normal 244 4 2" xfId="20923" xr:uid="{00000000-0005-0000-0000-0000BB510000}"/>
    <cellStyle name="Normal 244 4 2 2" xfId="20924" xr:uid="{00000000-0005-0000-0000-0000BC510000}"/>
    <cellStyle name="Normal 244 4 2 2 2" xfId="20925" xr:uid="{00000000-0005-0000-0000-0000BD510000}"/>
    <cellStyle name="Normal 244 4 2 3" xfId="20926" xr:uid="{00000000-0005-0000-0000-0000BE510000}"/>
    <cellStyle name="Normal 244 4 2 3 2" xfId="20927" xr:uid="{00000000-0005-0000-0000-0000BF510000}"/>
    <cellStyle name="Normal 244 4 2 3 2 2" xfId="20928" xr:uid="{00000000-0005-0000-0000-0000C0510000}"/>
    <cellStyle name="Normal 244 4 2 3 3" xfId="20929" xr:uid="{00000000-0005-0000-0000-0000C1510000}"/>
    <cellStyle name="Normal 244 4 2 4" xfId="20930" xr:uid="{00000000-0005-0000-0000-0000C2510000}"/>
    <cellStyle name="Normal 244 4 3" xfId="20931" xr:uid="{00000000-0005-0000-0000-0000C3510000}"/>
    <cellStyle name="Normal 244 4 3 2" xfId="20932" xr:uid="{00000000-0005-0000-0000-0000C4510000}"/>
    <cellStyle name="Normal 244 4 3 2 2" xfId="20933" xr:uid="{00000000-0005-0000-0000-0000C5510000}"/>
    <cellStyle name="Normal 244 4 3 3" xfId="20934" xr:uid="{00000000-0005-0000-0000-0000C6510000}"/>
    <cellStyle name="Normal 244 4 4" xfId="20935" xr:uid="{00000000-0005-0000-0000-0000C7510000}"/>
    <cellStyle name="Normal 244 4 4 2" xfId="20936" xr:uid="{00000000-0005-0000-0000-0000C8510000}"/>
    <cellStyle name="Normal 244 4 4 2 2" xfId="20937" xr:uid="{00000000-0005-0000-0000-0000C9510000}"/>
    <cellStyle name="Normal 244 4 4 3" xfId="20938" xr:uid="{00000000-0005-0000-0000-0000CA510000}"/>
    <cellStyle name="Normal 244 4 5" xfId="20939" xr:uid="{00000000-0005-0000-0000-0000CB510000}"/>
    <cellStyle name="Normal 244 4 5 2" xfId="20940" xr:uid="{00000000-0005-0000-0000-0000CC510000}"/>
    <cellStyle name="Normal 244 4 5 2 2" xfId="20941" xr:uid="{00000000-0005-0000-0000-0000CD510000}"/>
    <cellStyle name="Normal 244 4 5 3" xfId="20942" xr:uid="{00000000-0005-0000-0000-0000CE510000}"/>
    <cellStyle name="Normal 244 4 6" xfId="20943" xr:uid="{00000000-0005-0000-0000-0000CF510000}"/>
    <cellStyle name="Normal 244 5" xfId="20944" xr:uid="{00000000-0005-0000-0000-0000D0510000}"/>
    <cellStyle name="Normal 244 5 2" xfId="20945" xr:uid="{00000000-0005-0000-0000-0000D1510000}"/>
    <cellStyle name="Normal 244 5 2 2" xfId="20946" xr:uid="{00000000-0005-0000-0000-0000D2510000}"/>
    <cellStyle name="Normal 244 5 3" xfId="20947" xr:uid="{00000000-0005-0000-0000-0000D3510000}"/>
    <cellStyle name="Normal 244 6" xfId="20948" xr:uid="{00000000-0005-0000-0000-0000D4510000}"/>
    <cellStyle name="Normal 244 6 2" xfId="20949" xr:uid="{00000000-0005-0000-0000-0000D5510000}"/>
    <cellStyle name="Normal 244 6 2 2" xfId="20950" xr:uid="{00000000-0005-0000-0000-0000D6510000}"/>
    <cellStyle name="Normal 244 6 3" xfId="20951" xr:uid="{00000000-0005-0000-0000-0000D7510000}"/>
    <cellStyle name="Normal 244 7" xfId="20952" xr:uid="{00000000-0005-0000-0000-0000D8510000}"/>
    <cellStyle name="Normal 244 7 2" xfId="20953" xr:uid="{00000000-0005-0000-0000-0000D9510000}"/>
    <cellStyle name="Normal 244 7 2 2" xfId="20954" xr:uid="{00000000-0005-0000-0000-0000DA510000}"/>
    <cellStyle name="Normal 244 7 3" xfId="20955" xr:uid="{00000000-0005-0000-0000-0000DB510000}"/>
    <cellStyle name="Normal 244 8" xfId="20956" xr:uid="{00000000-0005-0000-0000-0000DC510000}"/>
    <cellStyle name="Normal 245" xfId="20957" xr:uid="{00000000-0005-0000-0000-0000DD510000}"/>
    <cellStyle name="Normal 245 2" xfId="20958" xr:uid="{00000000-0005-0000-0000-0000DE510000}"/>
    <cellStyle name="Normal 245 2 2" xfId="20959" xr:uid="{00000000-0005-0000-0000-0000DF510000}"/>
    <cellStyle name="Normal 245 2 2 2" xfId="20960" xr:uid="{00000000-0005-0000-0000-0000E0510000}"/>
    <cellStyle name="Normal 245 2 2 2 2" xfId="20961" xr:uid="{00000000-0005-0000-0000-0000E1510000}"/>
    <cellStyle name="Normal 245 2 2 3" xfId="20962" xr:uid="{00000000-0005-0000-0000-0000E2510000}"/>
    <cellStyle name="Normal 245 2 2 3 2" xfId="20963" xr:uid="{00000000-0005-0000-0000-0000E3510000}"/>
    <cellStyle name="Normal 245 2 2 3 2 2" xfId="20964" xr:uid="{00000000-0005-0000-0000-0000E4510000}"/>
    <cellStyle name="Normal 245 2 2 3 3" xfId="20965" xr:uid="{00000000-0005-0000-0000-0000E5510000}"/>
    <cellStyle name="Normal 245 2 2 4" xfId="20966" xr:uid="{00000000-0005-0000-0000-0000E6510000}"/>
    <cellStyle name="Normal 245 2 2 4 2" xfId="20967" xr:uid="{00000000-0005-0000-0000-0000E7510000}"/>
    <cellStyle name="Normal 245 2 2 4 2 2" xfId="20968" xr:uid="{00000000-0005-0000-0000-0000E8510000}"/>
    <cellStyle name="Normal 245 2 2 4 3" xfId="20969" xr:uid="{00000000-0005-0000-0000-0000E9510000}"/>
    <cellStyle name="Normal 245 2 2 5" xfId="20970" xr:uid="{00000000-0005-0000-0000-0000EA510000}"/>
    <cellStyle name="Normal 245 2 3" xfId="20971" xr:uid="{00000000-0005-0000-0000-0000EB510000}"/>
    <cellStyle name="Normal 245 2 3 2" xfId="20972" xr:uid="{00000000-0005-0000-0000-0000EC510000}"/>
    <cellStyle name="Normal 245 2 3 2 2" xfId="20973" xr:uid="{00000000-0005-0000-0000-0000ED510000}"/>
    <cellStyle name="Normal 245 2 3 2 2 2" xfId="20974" xr:uid="{00000000-0005-0000-0000-0000EE510000}"/>
    <cellStyle name="Normal 245 2 3 2 3" xfId="20975" xr:uid="{00000000-0005-0000-0000-0000EF510000}"/>
    <cellStyle name="Normal 245 2 3 2 3 2" xfId="20976" xr:uid="{00000000-0005-0000-0000-0000F0510000}"/>
    <cellStyle name="Normal 245 2 3 2 3 2 2" xfId="20977" xr:uid="{00000000-0005-0000-0000-0000F1510000}"/>
    <cellStyle name="Normal 245 2 3 2 3 3" xfId="20978" xr:uid="{00000000-0005-0000-0000-0000F2510000}"/>
    <cellStyle name="Normal 245 2 3 2 4" xfId="20979" xr:uid="{00000000-0005-0000-0000-0000F3510000}"/>
    <cellStyle name="Normal 245 2 3 3" xfId="20980" xr:uid="{00000000-0005-0000-0000-0000F4510000}"/>
    <cellStyle name="Normal 245 2 3 3 2" xfId="20981" xr:uid="{00000000-0005-0000-0000-0000F5510000}"/>
    <cellStyle name="Normal 245 2 3 3 2 2" xfId="20982" xr:uid="{00000000-0005-0000-0000-0000F6510000}"/>
    <cellStyle name="Normal 245 2 3 3 3" xfId="20983" xr:uid="{00000000-0005-0000-0000-0000F7510000}"/>
    <cellStyle name="Normal 245 2 3 4" xfId="20984" xr:uid="{00000000-0005-0000-0000-0000F8510000}"/>
    <cellStyle name="Normal 245 2 3 4 2" xfId="20985" xr:uid="{00000000-0005-0000-0000-0000F9510000}"/>
    <cellStyle name="Normal 245 2 3 4 2 2" xfId="20986" xr:uid="{00000000-0005-0000-0000-0000FA510000}"/>
    <cellStyle name="Normal 245 2 3 4 3" xfId="20987" xr:uid="{00000000-0005-0000-0000-0000FB510000}"/>
    <cellStyle name="Normal 245 2 3 5" xfId="20988" xr:uid="{00000000-0005-0000-0000-0000FC510000}"/>
    <cellStyle name="Normal 245 2 3 5 2" xfId="20989" xr:uid="{00000000-0005-0000-0000-0000FD510000}"/>
    <cellStyle name="Normal 245 2 3 5 2 2" xfId="20990" xr:uid="{00000000-0005-0000-0000-0000FE510000}"/>
    <cellStyle name="Normal 245 2 3 5 3" xfId="20991" xr:uid="{00000000-0005-0000-0000-0000FF510000}"/>
    <cellStyle name="Normal 245 2 3 6" xfId="20992" xr:uid="{00000000-0005-0000-0000-000000520000}"/>
    <cellStyle name="Normal 245 2 4" xfId="20993" xr:uid="{00000000-0005-0000-0000-000001520000}"/>
    <cellStyle name="Normal 245 2 4 2" xfId="20994" xr:uid="{00000000-0005-0000-0000-000002520000}"/>
    <cellStyle name="Normal 245 2 4 2 2" xfId="20995" xr:uid="{00000000-0005-0000-0000-000003520000}"/>
    <cellStyle name="Normal 245 2 4 3" xfId="20996" xr:uid="{00000000-0005-0000-0000-000004520000}"/>
    <cellStyle name="Normal 245 2 5" xfId="20997" xr:uid="{00000000-0005-0000-0000-000005520000}"/>
    <cellStyle name="Normal 245 2 5 2" xfId="20998" xr:uid="{00000000-0005-0000-0000-000006520000}"/>
    <cellStyle name="Normal 245 2 5 2 2" xfId="20999" xr:uid="{00000000-0005-0000-0000-000007520000}"/>
    <cellStyle name="Normal 245 2 5 3" xfId="21000" xr:uid="{00000000-0005-0000-0000-000008520000}"/>
    <cellStyle name="Normal 245 2 6" xfId="21001" xr:uid="{00000000-0005-0000-0000-000009520000}"/>
    <cellStyle name="Normal 245 2 6 2" xfId="21002" xr:uid="{00000000-0005-0000-0000-00000A520000}"/>
    <cellStyle name="Normal 245 2 6 2 2" xfId="21003" xr:uid="{00000000-0005-0000-0000-00000B520000}"/>
    <cellStyle name="Normal 245 2 6 3" xfId="21004" xr:uid="{00000000-0005-0000-0000-00000C520000}"/>
    <cellStyle name="Normal 245 2 7" xfId="21005" xr:uid="{00000000-0005-0000-0000-00000D520000}"/>
    <cellStyle name="Normal 245 3" xfId="21006" xr:uid="{00000000-0005-0000-0000-00000E520000}"/>
    <cellStyle name="Normal 245 3 2" xfId="21007" xr:uid="{00000000-0005-0000-0000-00000F520000}"/>
    <cellStyle name="Normal 245 3 2 2" xfId="21008" xr:uid="{00000000-0005-0000-0000-000010520000}"/>
    <cellStyle name="Normal 245 3 3" xfId="21009" xr:uid="{00000000-0005-0000-0000-000011520000}"/>
    <cellStyle name="Normal 245 3 3 2" xfId="21010" xr:uid="{00000000-0005-0000-0000-000012520000}"/>
    <cellStyle name="Normal 245 3 3 2 2" xfId="21011" xr:uid="{00000000-0005-0000-0000-000013520000}"/>
    <cellStyle name="Normal 245 3 3 3" xfId="21012" xr:uid="{00000000-0005-0000-0000-000014520000}"/>
    <cellStyle name="Normal 245 3 4" xfId="21013" xr:uid="{00000000-0005-0000-0000-000015520000}"/>
    <cellStyle name="Normal 245 3 4 2" xfId="21014" xr:uid="{00000000-0005-0000-0000-000016520000}"/>
    <cellStyle name="Normal 245 3 4 2 2" xfId="21015" xr:uid="{00000000-0005-0000-0000-000017520000}"/>
    <cellStyle name="Normal 245 3 4 3" xfId="21016" xr:uid="{00000000-0005-0000-0000-000018520000}"/>
    <cellStyle name="Normal 245 3 5" xfId="21017" xr:uid="{00000000-0005-0000-0000-000019520000}"/>
    <cellStyle name="Normal 245 4" xfId="21018" xr:uid="{00000000-0005-0000-0000-00001A520000}"/>
    <cellStyle name="Normal 245 4 2" xfId="21019" xr:uid="{00000000-0005-0000-0000-00001B520000}"/>
    <cellStyle name="Normal 245 4 2 2" xfId="21020" xr:uid="{00000000-0005-0000-0000-00001C520000}"/>
    <cellStyle name="Normal 245 4 2 2 2" xfId="21021" xr:uid="{00000000-0005-0000-0000-00001D520000}"/>
    <cellStyle name="Normal 245 4 2 3" xfId="21022" xr:uid="{00000000-0005-0000-0000-00001E520000}"/>
    <cellStyle name="Normal 245 4 2 3 2" xfId="21023" xr:uid="{00000000-0005-0000-0000-00001F520000}"/>
    <cellStyle name="Normal 245 4 2 3 2 2" xfId="21024" xr:uid="{00000000-0005-0000-0000-000020520000}"/>
    <cellStyle name="Normal 245 4 2 3 3" xfId="21025" xr:uid="{00000000-0005-0000-0000-000021520000}"/>
    <cellStyle name="Normal 245 4 2 4" xfId="21026" xr:uid="{00000000-0005-0000-0000-000022520000}"/>
    <cellStyle name="Normal 245 4 3" xfId="21027" xr:uid="{00000000-0005-0000-0000-000023520000}"/>
    <cellStyle name="Normal 245 4 3 2" xfId="21028" xr:uid="{00000000-0005-0000-0000-000024520000}"/>
    <cellStyle name="Normal 245 4 3 2 2" xfId="21029" xr:uid="{00000000-0005-0000-0000-000025520000}"/>
    <cellStyle name="Normal 245 4 3 3" xfId="21030" xr:uid="{00000000-0005-0000-0000-000026520000}"/>
    <cellStyle name="Normal 245 4 4" xfId="21031" xr:uid="{00000000-0005-0000-0000-000027520000}"/>
    <cellStyle name="Normal 245 4 4 2" xfId="21032" xr:uid="{00000000-0005-0000-0000-000028520000}"/>
    <cellStyle name="Normal 245 4 4 2 2" xfId="21033" xr:uid="{00000000-0005-0000-0000-000029520000}"/>
    <cellStyle name="Normal 245 4 4 3" xfId="21034" xr:uid="{00000000-0005-0000-0000-00002A520000}"/>
    <cellStyle name="Normal 245 4 5" xfId="21035" xr:uid="{00000000-0005-0000-0000-00002B520000}"/>
    <cellStyle name="Normal 245 4 5 2" xfId="21036" xr:uid="{00000000-0005-0000-0000-00002C520000}"/>
    <cellStyle name="Normal 245 4 5 2 2" xfId="21037" xr:uid="{00000000-0005-0000-0000-00002D520000}"/>
    <cellStyle name="Normal 245 4 5 3" xfId="21038" xr:uid="{00000000-0005-0000-0000-00002E520000}"/>
    <cellStyle name="Normal 245 4 6" xfId="21039" xr:uid="{00000000-0005-0000-0000-00002F520000}"/>
    <cellStyle name="Normal 245 5" xfId="21040" xr:uid="{00000000-0005-0000-0000-000030520000}"/>
    <cellStyle name="Normal 245 5 2" xfId="21041" xr:uid="{00000000-0005-0000-0000-000031520000}"/>
    <cellStyle name="Normal 245 5 2 2" xfId="21042" xr:uid="{00000000-0005-0000-0000-000032520000}"/>
    <cellStyle name="Normal 245 5 3" xfId="21043" xr:uid="{00000000-0005-0000-0000-000033520000}"/>
    <cellStyle name="Normal 245 6" xfId="21044" xr:uid="{00000000-0005-0000-0000-000034520000}"/>
    <cellStyle name="Normal 245 6 2" xfId="21045" xr:uid="{00000000-0005-0000-0000-000035520000}"/>
    <cellStyle name="Normal 245 6 2 2" xfId="21046" xr:uid="{00000000-0005-0000-0000-000036520000}"/>
    <cellStyle name="Normal 245 6 3" xfId="21047" xr:uid="{00000000-0005-0000-0000-000037520000}"/>
    <cellStyle name="Normal 245 7" xfId="21048" xr:uid="{00000000-0005-0000-0000-000038520000}"/>
    <cellStyle name="Normal 245 7 2" xfId="21049" xr:uid="{00000000-0005-0000-0000-000039520000}"/>
    <cellStyle name="Normal 245 7 2 2" xfId="21050" xr:uid="{00000000-0005-0000-0000-00003A520000}"/>
    <cellStyle name="Normal 245 7 3" xfId="21051" xr:uid="{00000000-0005-0000-0000-00003B520000}"/>
    <cellStyle name="Normal 245 8" xfId="21052" xr:uid="{00000000-0005-0000-0000-00003C520000}"/>
    <cellStyle name="Normal 246" xfId="21053" xr:uid="{00000000-0005-0000-0000-00003D520000}"/>
    <cellStyle name="Normal 246 2" xfId="21054" xr:uid="{00000000-0005-0000-0000-00003E520000}"/>
    <cellStyle name="Normal 246 2 2" xfId="21055" xr:uid="{00000000-0005-0000-0000-00003F520000}"/>
    <cellStyle name="Normal 246 2 2 2" xfId="21056" xr:uid="{00000000-0005-0000-0000-000040520000}"/>
    <cellStyle name="Normal 246 2 2 2 2" xfId="21057" xr:uid="{00000000-0005-0000-0000-000041520000}"/>
    <cellStyle name="Normal 246 2 2 3" xfId="21058" xr:uid="{00000000-0005-0000-0000-000042520000}"/>
    <cellStyle name="Normal 246 2 2 3 2" xfId="21059" xr:uid="{00000000-0005-0000-0000-000043520000}"/>
    <cellStyle name="Normal 246 2 2 3 2 2" xfId="21060" xr:uid="{00000000-0005-0000-0000-000044520000}"/>
    <cellStyle name="Normal 246 2 2 3 3" xfId="21061" xr:uid="{00000000-0005-0000-0000-000045520000}"/>
    <cellStyle name="Normal 246 2 2 4" xfId="21062" xr:uid="{00000000-0005-0000-0000-000046520000}"/>
    <cellStyle name="Normal 246 2 2 4 2" xfId="21063" xr:uid="{00000000-0005-0000-0000-000047520000}"/>
    <cellStyle name="Normal 246 2 2 4 2 2" xfId="21064" xr:uid="{00000000-0005-0000-0000-000048520000}"/>
    <cellStyle name="Normal 246 2 2 4 3" xfId="21065" xr:uid="{00000000-0005-0000-0000-000049520000}"/>
    <cellStyle name="Normal 246 2 2 5" xfId="21066" xr:uid="{00000000-0005-0000-0000-00004A520000}"/>
    <cellStyle name="Normal 246 2 3" xfId="21067" xr:uid="{00000000-0005-0000-0000-00004B520000}"/>
    <cellStyle name="Normal 246 2 3 2" xfId="21068" xr:uid="{00000000-0005-0000-0000-00004C520000}"/>
    <cellStyle name="Normal 246 2 3 2 2" xfId="21069" xr:uid="{00000000-0005-0000-0000-00004D520000}"/>
    <cellStyle name="Normal 246 2 3 2 2 2" xfId="21070" xr:uid="{00000000-0005-0000-0000-00004E520000}"/>
    <cellStyle name="Normal 246 2 3 2 3" xfId="21071" xr:uid="{00000000-0005-0000-0000-00004F520000}"/>
    <cellStyle name="Normal 246 2 3 2 3 2" xfId="21072" xr:uid="{00000000-0005-0000-0000-000050520000}"/>
    <cellStyle name="Normal 246 2 3 2 3 2 2" xfId="21073" xr:uid="{00000000-0005-0000-0000-000051520000}"/>
    <cellStyle name="Normal 246 2 3 2 3 3" xfId="21074" xr:uid="{00000000-0005-0000-0000-000052520000}"/>
    <cellStyle name="Normal 246 2 3 2 4" xfId="21075" xr:uid="{00000000-0005-0000-0000-000053520000}"/>
    <cellStyle name="Normal 246 2 3 3" xfId="21076" xr:uid="{00000000-0005-0000-0000-000054520000}"/>
    <cellStyle name="Normal 246 2 3 3 2" xfId="21077" xr:uid="{00000000-0005-0000-0000-000055520000}"/>
    <cellStyle name="Normal 246 2 3 3 2 2" xfId="21078" xr:uid="{00000000-0005-0000-0000-000056520000}"/>
    <cellStyle name="Normal 246 2 3 3 3" xfId="21079" xr:uid="{00000000-0005-0000-0000-000057520000}"/>
    <cellStyle name="Normal 246 2 3 4" xfId="21080" xr:uid="{00000000-0005-0000-0000-000058520000}"/>
    <cellStyle name="Normal 246 2 3 4 2" xfId="21081" xr:uid="{00000000-0005-0000-0000-000059520000}"/>
    <cellStyle name="Normal 246 2 3 4 2 2" xfId="21082" xr:uid="{00000000-0005-0000-0000-00005A520000}"/>
    <cellStyle name="Normal 246 2 3 4 3" xfId="21083" xr:uid="{00000000-0005-0000-0000-00005B520000}"/>
    <cellStyle name="Normal 246 2 3 5" xfId="21084" xr:uid="{00000000-0005-0000-0000-00005C520000}"/>
    <cellStyle name="Normal 246 2 3 5 2" xfId="21085" xr:uid="{00000000-0005-0000-0000-00005D520000}"/>
    <cellStyle name="Normal 246 2 3 5 2 2" xfId="21086" xr:uid="{00000000-0005-0000-0000-00005E520000}"/>
    <cellStyle name="Normal 246 2 3 5 3" xfId="21087" xr:uid="{00000000-0005-0000-0000-00005F520000}"/>
    <cellStyle name="Normal 246 2 3 6" xfId="21088" xr:uid="{00000000-0005-0000-0000-000060520000}"/>
    <cellStyle name="Normal 246 2 4" xfId="21089" xr:uid="{00000000-0005-0000-0000-000061520000}"/>
    <cellStyle name="Normal 246 2 4 2" xfId="21090" xr:uid="{00000000-0005-0000-0000-000062520000}"/>
    <cellStyle name="Normal 246 2 4 2 2" xfId="21091" xr:uid="{00000000-0005-0000-0000-000063520000}"/>
    <cellStyle name="Normal 246 2 4 3" xfId="21092" xr:uid="{00000000-0005-0000-0000-000064520000}"/>
    <cellStyle name="Normal 246 2 5" xfId="21093" xr:uid="{00000000-0005-0000-0000-000065520000}"/>
    <cellStyle name="Normal 246 2 5 2" xfId="21094" xr:uid="{00000000-0005-0000-0000-000066520000}"/>
    <cellStyle name="Normal 246 2 5 2 2" xfId="21095" xr:uid="{00000000-0005-0000-0000-000067520000}"/>
    <cellStyle name="Normal 246 2 5 3" xfId="21096" xr:uid="{00000000-0005-0000-0000-000068520000}"/>
    <cellStyle name="Normal 246 2 6" xfId="21097" xr:uid="{00000000-0005-0000-0000-000069520000}"/>
    <cellStyle name="Normal 246 2 6 2" xfId="21098" xr:uid="{00000000-0005-0000-0000-00006A520000}"/>
    <cellStyle name="Normal 246 2 6 2 2" xfId="21099" xr:uid="{00000000-0005-0000-0000-00006B520000}"/>
    <cellStyle name="Normal 246 2 6 3" xfId="21100" xr:uid="{00000000-0005-0000-0000-00006C520000}"/>
    <cellStyle name="Normal 246 2 7" xfId="21101" xr:uid="{00000000-0005-0000-0000-00006D520000}"/>
    <cellStyle name="Normal 246 3" xfId="21102" xr:uid="{00000000-0005-0000-0000-00006E520000}"/>
    <cellStyle name="Normal 246 3 2" xfId="21103" xr:uid="{00000000-0005-0000-0000-00006F520000}"/>
    <cellStyle name="Normal 246 3 2 2" xfId="21104" xr:uid="{00000000-0005-0000-0000-000070520000}"/>
    <cellStyle name="Normal 246 3 3" xfId="21105" xr:uid="{00000000-0005-0000-0000-000071520000}"/>
    <cellStyle name="Normal 246 3 3 2" xfId="21106" xr:uid="{00000000-0005-0000-0000-000072520000}"/>
    <cellStyle name="Normal 246 3 3 2 2" xfId="21107" xr:uid="{00000000-0005-0000-0000-000073520000}"/>
    <cellStyle name="Normal 246 3 3 3" xfId="21108" xr:uid="{00000000-0005-0000-0000-000074520000}"/>
    <cellStyle name="Normal 246 3 4" xfId="21109" xr:uid="{00000000-0005-0000-0000-000075520000}"/>
    <cellStyle name="Normal 246 3 4 2" xfId="21110" xr:uid="{00000000-0005-0000-0000-000076520000}"/>
    <cellStyle name="Normal 246 3 4 2 2" xfId="21111" xr:uid="{00000000-0005-0000-0000-000077520000}"/>
    <cellStyle name="Normal 246 3 4 3" xfId="21112" xr:uid="{00000000-0005-0000-0000-000078520000}"/>
    <cellStyle name="Normal 246 3 5" xfId="21113" xr:uid="{00000000-0005-0000-0000-000079520000}"/>
    <cellStyle name="Normal 246 4" xfId="21114" xr:uid="{00000000-0005-0000-0000-00007A520000}"/>
    <cellStyle name="Normal 246 4 2" xfId="21115" xr:uid="{00000000-0005-0000-0000-00007B520000}"/>
    <cellStyle name="Normal 246 4 2 2" xfId="21116" xr:uid="{00000000-0005-0000-0000-00007C520000}"/>
    <cellStyle name="Normal 246 4 2 2 2" xfId="21117" xr:uid="{00000000-0005-0000-0000-00007D520000}"/>
    <cellStyle name="Normal 246 4 2 3" xfId="21118" xr:uid="{00000000-0005-0000-0000-00007E520000}"/>
    <cellStyle name="Normal 246 4 2 3 2" xfId="21119" xr:uid="{00000000-0005-0000-0000-00007F520000}"/>
    <cellStyle name="Normal 246 4 2 3 2 2" xfId="21120" xr:uid="{00000000-0005-0000-0000-000080520000}"/>
    <cellStyle name="Normal 246 4 2 3 3" xfId="21121" xr:uid="{00000000-0005-0000-0000-000081520000}"/>
    <cellStyle name="Normal 246 4 2 4" xfId="21122" xr:uid="{00000000-0005-0000-0000-000082520000}"/>
    <cellStyle name="Normal 246 4 3" xfId="21123" xr:uid="{00000000-0005-0000-0000-000083520000}"/>
    <cellStyle name="Normal 246 4 3 2" xfId="21124" xr:uid="{00000000-0005-0000-0000-000084520000}"/>
    <cellStyle name="Normal 246 4 3 2 2" xfId="21125" xr:uid="{00000000-0005-0000-0000-000085520000}"/>
    <cellStyle name="Normal 246 4 3 3" xfId="21126" xr:uid="{00000000-0005-0000-0000-000086520000}"/>
    <cellStyle name="Normal 246 4 4" xfId="21127" xr:uid="{00000000-0005-0000-0000-000087520000}"/>
    <cellStyle name="Normal 246 4 4 2" xfId="21128" xr:uid="{00000000-0005-0000-0000-000088520000}"/>
    <cellStyle name="Normal 246 4 4 2 2" xfId="21129" xr:uid="{00000000-0005-0000-0000-000089520000}"/>
    <cellStyle name="Normal 246 4 4 3" xfId="21130" xr:uid="{00000000-0005-0000-0000-00008A520000}"/>
    <cellStyle name="Normal 246 4 5" xfId="21131" xr:uid="{00000000-0005-0000-0000-00008B520000}"/>
    <cellStyle name="Normal 246 4 5 2" xfId="21132" xr:uid="{00000000-0005-0000-0000-00008C520000}"/>
    <cellStyle name="Normal 246 4 5 2 2" xfId="21133" xr:uid="{00000000-0005-0000-0000-00008D520000}"/>
    <cellStyle name="Normal 246 4 5 3" xfId="21134" xr:uid="{00000000-0005-0000-0000-00008E520000}"/>
    <cellStyle name="Normal 246 4 6" xfId="21135" xr:uid="{00000000-0005-0000-0000-00008F520000}"/>
    <cellStyle name="Normal 246 5" xfId="21136" xr:uid="{00000000-0005-0000-0000-000090520000}"/>
    <cellStyle name="Normal 246 5 2" xfId="21137" xr:uid="{00000000-0005-0000-0000-000091520000}"/>
    <cellStyle name="Normal 246 5 2 2" xfId="21138" xr:uid="{00000000-0005-0000-0000-000092520000}"/>
    <cellStyle name="Normal 246 5 3" xfId="21139" xr:uid="{00000000-0005-0000-0000-000093520000}"/>
    <cellStyle name="Normal 246 6" xfId="21140" xr:uid="{00000000-0005-0000-0000-000094520000}"/>
    <cellStyle name="Normal 246 6 2" xfId="21141" xr:uid="{00000000-0005-0000-0000-000095520000}"/>
    <cellStyle name="Normal 246 6 2 2" xfId="21142" xr:uid="{00000000-0005-0000-0000-000096520000}"/>
    <cellStyle name="Normal 246 6 3" xfId="21143" xr:uid="{00000000-0005-0000-0000-000097520000}"/>
    <cellStyle name="Normal 246 7" xfId="21144" xr:uid="{00000000-0005-0000-0000-000098520000}"/>
    <cellStyle name="Normal 246 7 2" xfId="21145" xr:uid="{00000000-0005-0000-0000-000099520000}"/>
    <cellStyle name="Normal 246 7 2 2" xfId="21146" xr:uid="{00000000-0005-0000-0000-00009A520000}"/>
    <cellStyle name="Normal 246 7 3" xfId="21147" xr:uid="{00000000-0005-0000-0000-00009B520000}"/>
    <cellStyle name="Normal 246 8" xfId="21148" xr:uid="{00000000-0005-0000-0000-00009C520000}"/>
    <cellStyle name="Normal 247" xfId="21149" xr:uid="{00000000-0005-0000-0000-00009D520000}"/>
    <cellStyle name="Normal 247 2" xfId="21150" xr:uid="{00000000-0005-0000-0000-00009E520000}"/>
    <cellStyle name="Normal 247 2 2" xfId="21151" xr:uid="{00000000-0005-0000-0000-00009F520000}"/>
    <cellStyle name="Normal 247 2 2 2" xfId="21152" xr:uid="{00000000-0005-0000-0000-0000A0520000}"/>
    <cellStyle name="Normal 247 2 2 2 2" xfId="21153" xr:uid="{00000000-0005-0000-0000-0000A1520000}"/>
    <cellStyle name="Normal 247 2 2 3" xfId="21154" xr:uid="{00000000-0005-0000-0000-0000A2520000}"/>
    <cellStyle name="Normal 247 2 2 3 2" xfId="21155" xr:uid="{00000000-0005-0000-0000-0000A3520000}"/>
    <cellStyle name="Normal 247 2 2 3 2 2" xfId="21156" xr:uid="{00000000-0005-0000-0000-0000A4520000}"/>
    <cellStyle name="Normal 247 2 2 3 3" xfId="21157" xr:uid="{00000000-0005-0000-0000-0000A5520000}"/>
    <cellStyle name="Normal 247 2 2 4" xfId="21158" xr:uid="{00000000-0005-0000-0000-0000A6520000}"/>
    <cellStyle name="Normal 247 2 2 4 2" xfId="21159" xr:uid="{00000000-0005-0000-0000-0000A7520000}"/>
    <cellStyle name="Normal 247 2 2 4 2 2" xfId="21160" xr:uid="{00000000-0005-0000-0000-0000A8520000}"/>
    <cellStyle name="Normal 247 2 2 4 3" xfId="21161" xr:uid="{00000000-0005-0000-0000-0000A9520000}"/>
    <cellStyle name="Normal 247 2 2 5" xfId="21162" xr:uid="{00000000-0005-0000-0000-0000AA520000}"/>
    <cellStyle name="Normal 247 2 3" xfId="21163" xr:uid="{00000000-0005-0000-0000-0000AB520000}"/>
    <cellStyle name="Normal 247 2 3 2" xfId="21164" xr:uid="{00000000-0005-0000-0000-0000AC520000}"/>
    <cellStyle name="Normal 247 2 3 2 2" xfId="21165" xr:uid="{00000000-0005-0000-0000-0000AD520000}"/>
    <cellStyle name="Normal 247 2 3 2 2 2" xfId="21166" xr:uid="{00000000-0005-0000-0000-0000AE520000}"/>
    <cellStyle name="Normal 247 2 3 2 3" xfId="21167" xr:uid="{00000000-0005-0000-0000-0000AF520000}"/>
    <cellStyle name="Normal 247 2 3 2 3 2" xfId="21168" xr:uid="{00000000-0005-0000-0000-0000B0520000}"/>
    <cellStyle name="Normal 247 2 3 2 3 2 2" xfId="21169" xr:uid="{00000000-0005-0000-0000-0000B1520000}"/>
    <cellStyle name="Normal 247 2 3 2 3 3" xfId="21170" xr:uid="{00000000-0005-0000-0000-0000B2520000}"/>
    <cellStyle name="Normal 247 2 3 2 4" xfId="21171" xr:uid="{00000000-0005-0000-0000-0000B3520000}"/>
    <cellStyle name="Normal 247 2 3 3" xfId="21172" xr:uid="{00000000-0005-0000-0000-0000B4520000}"/>
    <cellStyle name="Normal 247 2 3 3 2" xfId="21173" xr:uid="{00000000-0005-0000-0000-0000B5520000}"/>
    <cellStyle name="Normal 247 2 3 3 2 2" xfId="21174" xr:uid="{00000000-0005-0000-0000-0000B6520000}"/>
    <cellStyle name="Normal 247 2 3 3 3" xfId="21175" xr:uid="{00000000-0005-0000-0000-0000B7520000}"/>
    <cellStyle name="Normal 247 2 3 4" xfId="21176" xr:uid="{00000000-0005-0000-0000-0000B8520000}"/>
    <cellStyle name="Normal 247 2 3 4 2" xfId="21177" xr:uid="{00000000-0005-0000-0000-0000B9520000}"/>
    <cellStyle name="Normal 247 2 3 4 2 2" xfId="21178" xr:uid="{00000000-0005-0000-0000-0000BA520000}"/>
    <cellStyle name="Normal 247 2 3 4 3" xfId="21179" xr:uid="{00000000-0005-0000-0000-0000BB520000}"/>
    <cellStyle name="Normal 247 2 3 5" xfId="21180" xr:uid="{00000000-0005-0000-0000-0000BC520000}"/>
    <cellStyle name="Normal 247 2 3 5 2" xfId="21181" xr:uid="{00000000-0005-0000-0000-0000BD520000}"/>
    <cellStyle name="Normal 247 2 3 5 2 2" xfId="21182" xr:uid="{00000000-0005-0000-0000-0000BE520000}"/>
    <cellStyle name="Normal 247 2 3 5 3" xfId="21183" xr:uid="{00000000-0005-0000-0000-0000BF520000}"/>
    <cellStyle name="Normal 247 2 3 6" xfId="21184" xr:uid="{00000000-0005-0000-0000-0000C0520000}"/>
    <cellStyle name="Normal 247 2 4" xfId="21185" xr:uid="{00000000-0005-0000-0000-0000C1520000}"/>
    <cellStyle name="Normal 247 2 4 2" xfId="21186" xr:uid="{00000000-0005-0000-0000-0000C2520000}"/>
    <cellStyle name="Normal 247 2 4 2 2" xfId="21187" xr:uid="{00000000-0005-0000-0000-0000C3520000}"/>
    <cellStyle name="Normal 247 2 4 3" xfId="21188" xr:uid="{00000000-0005-0000-0000-0000C4520000}"/>
    <cellStyle name="Normal 247 2 5" xfId="21189" xr:uid="{00000000-0005-0000-0000-0000C5520000}"/>
    <cellStyle name="Normal 247 2 5 2" xfId="21190" xr:uid="{00000000-0005-0000-0000-0000C6520000}"/>
    <cellStyle name="Normal 247 2 5 2 2" xfId="21191" xr:uid="{00000000-0005-0000-0000-0000C7520000}"/>
    <cellStyle name="Normal 247 2 5 3" xfId="21192" xr:uid="{00000000-0005-0000-0000-0000C8520000}"/>
    <cellStyle name="Normal 247 2 6" xfId="21193" xr:uid="{00000000-0005-0000-0000-0000C9520000}"/>
    <cellStyle name="Normal 247 2 6 2" xfId="21194" xr:uid="{00000000-0005-0000-0000-0000CA520000}"/>
    <cellStyle name="Normal 247 2 6 2 2" xfId="21195" xr:uid="{00000000-0005-0000-0000-0000CB520000}"/>
    <cellStyle name="Normal 247 2 6 3" xfId="21196" xr:uid="{00000000-0005-0000-0000-0000CC520000}"/>
    <cellStyle name="Normal 247 2 7" xfId="21197" xr:uid="{00000000-0005-0000-0000-0000CD520000}"/>
    <cellStyle name="Normal 247 3" xfId="21198" xr:uid="{00000000-0005-0000-0000-0000CE520000}"/>
    <cellStyle name="Normal 247 3 2" xfId="21199" xr:uid="{00000000-0005-0000-0000-0000CF520000}"/>
    <cellStyle name="Normal 247 3 2 2" xfId="21200" xr:uid="{00000000-0005-0000-0000-0000D0520000}"/>
    <cellStyle name="Normal 247 3 3" xfId="21201" xr:uid="{00000000-0005-0000-0000-0000D1520000}"/>
    <cellStyle name="Normal 247 3 3 2" xfId="21202" xr:uid="{00000000-0005-0000-0000-0000D2520000}"/>
    <cellStyle name="Normal 247 3 3 2 2" xfId="21203" xr:uid="{00000000-0005-0000-0000-0000D3520000}"/>
    <cellStyle name="Normal 247 3 3 3" xfId="21204" xr:uid="{00000000-0005-0000-0000-0000D4520000}"/>
    <cellStyle name="Normal 247 3 4" xfId="21205" xr:uid="{00000000-0005-0000-0000-0000D5520000}"/>
    <cellStyle name="Normal 247 3 4 2" xfId="21206" xr:uid="{00000000-0005-0000-0000-0000D6520000}"/>
    <cellStyle name="Normal 247 3 4 2 2" xfId="21207" xr:uid="{00000000-0005-0000-0000-0000D7520000}"/>
    <cellStyle name="Normal 247 3 4 3" xfId="21208" xr:uid="{00000000-0005-0000-0000-0000D8520000}"/>
    <cellStyle name="Normal 247 3 5" xfId="21209" xr:uid="{00000000-0005-0000-0000-0000D9520000}"/>
    <cellStyle name="Normal 247 4" xfId="21210" xr:uid="{00000000-0005-0000-0000-0000DA520000}"/>
    <cellStyle name="Normal 247 4 2" xfId="21211" xr:uid="{00000000-0005-0000-0000-0000DB520000}"/>
    <cellStyle name="Normal 247 4 2 2" xfId="21212" xr:uid="{00000000-0005-0000-0000-0000DC520000}"/>
    <cellStyle name="Normal 247 4 2 2 2" xfId="21213" xr:uid="{00000000-0005-0000-0000-0000DD520000}"/>
    <cellStyle name="Normal 247 4 2 3" xfId="21214" xr:uid="{00000000-0005-0000-0000-0000DE520000}"/>
    <cellStyle name="Normal 247 4 2 3 2" xfId="21215" xr:uid="{00000000-0005-0000-0000-0000DF520000}"/>
    <cellStyle name="Normal 247 4 2 3 2 2" xfId="21216" xr:uid="{00000000-0005-0000-0000-0000E0520000}"/>
    <cellStyle name="Normal 247 4 2 3 3" xfId="21217" xr:uid="{00000000-0005-0000-0000-0000E1520000}"/>
    <cellStyle name="Normal 247 4 2 4" xfId="21218" xr:uid="{00000000-0005-0000-0000-0000E2520000}"/>
    <cellStyle name="Normal 247 4 3" xfId="21219" xr:uid="{00000000-0005-0000-0000-0000E3520000}"/>
    <cellStyle name="Normal 247 4 3 2" xfId="21220" xr:uid="{00000000-0005-0000-0000-0000E4520000}"/>
    <cellStyle name="Normal 247 4 3 2 2" xfId="21221" xr:uid="{00000000-0005-0000-0000-0000E5520000}"/>
    <cellStyle name="Normal 247 4 3 3" xfId="21222" xr:uid="{00000000-0005-0000-0000-0000E6520000}"/>
    <cellStyle name="Normal 247 4 4" xfId="21223" xr:uid="{00000000-0005-0000-0000-0000E7520000}"/>
    <cellStyle name="Normal 247 4 4 2" xfId="21224" xr:uid="{00000000-0005-0000-0000-0000E8520000}"/>
    <cellStyle name="Normal 247 4 4 2 2" xfId="21225" xr:uid="{00000000-0005-0000-0000-0000E9520000}"/>
    <cellStyle name="Normal 247 4 4 3" xfId="21226" xr:uid="{00000000-0005-0000-0000-0000EA520000}"/>
    <cellStyle name="Normal 247 4 5" xfId="21227" xr:uid="{00000000-0005-0000-0000-0000EB520000}"/>
    <cellStyle name="Normal 247 4 5 2" xfId="21228" xr:uid="{00000000-0005-0000-0000-0000EC520000}"/>
    <cellStyle name="Normal 247 4 5 2 2" xfId="21229" xr:uid="{00000000-0005-0000-0000-0000ED520000}"/>
    <cellStyle name="Normal 247 4 5 3" xfId="21230" xr:uid="{00000000-0005-0000-0000-0000EE520000}"/>
    <cellStyle name="Normal 247 4 6" xfId="21231" xr:uid="{00000000-0005-0000-0000-0000EF520000}"/>
    <cellStyle name="Normal 247 5" xfId="21232" xr:uid="{00000000-0005-0000-0000-0000F0520000}"/>
    <cellStyle name="Normal 247 5 2" xfId="21233" xr:uid="{00000000-0005-0000-0000-0000F1520000}"/>
    <cellStyle name="Normal 247 5 2 2" xfId="21234" xr:uid="{00000000-0005-0000-0000-0000F2520000}"/>
    <cellStyle name="Normal 247 5 3" xfId="21235" xr:uid="{00000000-0005-0000-0000-0000F3520000}"/>
    <cellStyle name="Normal 247 6" xfId="21236" xr:uid="{00000000-0005-0000-0000-0000F4520000}"/>
    <cellStyle name="Normal 247 6 2" xfId="21237" xr:uid="{00000000-0005-0000-0000-0000F5520000}"/>
    <cellStyle name="Normal 247 6 2 2" xfId="21238" xr:uid="{00000000-0005-0000-0000-0000F6520000}"/>
    <cellStyle name="Normal 247 6 3" xfId="21239" xr:uid="{00000000-0005-0000-0000-0000F7520000}"/>
    <cellStyle name="Normal 247 7" xfId="21240" xr:uid="{00000000-0005-0000-0000-0000F8520000}"/>
    <cellStyle name="Normal 247 7 2" xfId="21241" xr:uid="{00000000-0005-0000-0000-0000F9520000}"/>
    <cellStyle name="Normal 247 7 2 2" xfId="21242" xr:uid="{00000000-0005-0000-0000-0000FA520000}"/>
    <cellStyle name="Normal 247 7 3" xfId="21243" xr:uid="{00000000-0005-0000-0000-0000FB520000}"/>
    <cellStyle name="Normal 247 8" xfId="21244" xr:uid="{00000000-0005-0000-0000-0000FC520000}"/>
    <cellStyle name="Normal 248" xfId="21245" xr:uid="{00000000-0005-0000-0000-0000FD520000}"/>
    <cellStyle name="Normal 248 2" xfId="21246" xr:uid="{00000000-0005-0000-0000-0000FE520000}"/>
    <cellStyle name="Normal 248 2 2" xfId="21247" xr:uid="{00000000-0005-0000-0000-0000FF520000}"/>
    <cellStyle name="Normal 248 2 2 2" xfId="21248" xr:uid="{00000000-0005-0000-0000-000000530000}"/>
    <cellStyle name="Normal 248 2 2 2 2" xfId="21249" xr:uid="{00000000-0005-0000-0000-000001530000}"/>
    <cellStyle name="Normal 248 2 2 3" xfId="21250" xr:uid="{00000000-0005-0000-0000-000002530000}"/>
    <cellStyle name="Normal 248 2 2 3 2" xfId="21251" xr:uid="{00000000-0005-0000-0000-000003530000}"/>
    <cellStyle name="Normal 248 2 2 3 2 2" xfId="21252" xr:uid="{00000000-0005-0000-0000-000004530000}"/>
    <cellStyle name="Normal 248 2 2 3 3" xfId="21253" xr:uid="{00000000-0005-0000-0000-000005530000}"/>
    <cellStyle name="Normal 248 2 2 4" xfId="21254" xr:uid="{00000000-0005-0000-0000-000006530000}"/>
    <cellStyle name="Normal 248 2 2 4 2" xfId="21255" xr:uid="{00000000-0005-0000-0000-000007530000}"/>
    <cellStyle name="Normal 248 2 2 4 2 2" xfId="21256" xr:uid="{00000000-0005-0000-0000-000008530000}"/>
    <cellStyle name="Normal 248 2 2 4 3" xfId="21257" xr:uid="{00000000-0005-0000-0000-000009530000}"/>
    <cellStyle name="Normal 248 2 2 5" xfId="21258" xr:uid="{00000000-0005-0000-0000-00000A530000}"/>
    <cellStyle name="Normal 248 2 3" xfId="21259" xr:uid="{00000000-0005-0000-0000-00000B530000}"/>
    <cellStyle name="Normal 248 2 3 2" xfId="21260" xr:uid="{00000000-0005-0000-0000-00000C530000}"/>
    <cellStyle name="Normal 248 2 3 2 2" xfId="21261" xr:uid="{00000000-0005-0000-0000-00000D530000}"/>
    <cellStyle name="Normal 248 2 3 2 2 2" xfId="21262" xr:uid="{00000000-0005-0000-0000-00000E530000}"/>
    <cellStyle name="Normal 248 2 3 2 3" xfId="21263" xr:uid="{00000000-0005-0000-0000-00000F530000}"/>
    <cellStyle name="Normal 248 2 3 2 3 2" xfId="21264" xr:uid="{00000000-0005-0000-0000-000010530000}"/>
    <cellStyle name="Normal 248 2 3 2 3 2 2" xfId="21265" xr:uid="{00000000-0005-0000-0000-000011530000}"/>
    <cellStyle name="Normal 248 2 3 2 3 3" xfId="21266" xr:uid="{00000000-0005-0000-0000-000012530000}"/>
    <cellStyle name="Normal 248 2 3 2 4" xfId="21267" xr:uid="{00000000-0005-0000-0000-000013530000}"/>
    <cellStyle name="Normal 248 2 3 3" xfId="21268" xr:uid="{00000000-0005-0000-0000-000014530000}"/>
    <cellStyle name="Normal 248 2 3 3 2" xfId="21269" xr:uid="{00000000-0005-0000-0000-000015530000}"/>
    <cellStyle name="Normal 248 2 3 3 2 2" xfId="21270" xr:uid="{00000000-0005-0000-0000-000016530000}"/>
    <cellStyle name="Normal 248 2 3 3 3" xfId="21271" xr:uid="{00000000-0005-0000-0000-000017530000}"/>
    <cellStyle name="Normal 248 2 3 4" xfId="21272" xr:uid="{00000000-0005-0000-0000-000018530000}"/>
    <cellStyle name="Normal 248 2 3 4 2" xfId="21273" xr:uid="{00000000-0005-0000-0000-000019530000}"/>
    <cellStyle name="Normal 248 2 3 4 2 2" xfId="21274" xr:uid="{00000000-0005-0000-0000-00001A530000}"/>
    <cellStyle name="Normal 248 2 3 4 3" xfId="21275" xr:uid="{00000000-0005-0000-0000-00001B530000}"/>
    <cellStyle name="Normal 248 2 3 5" xfId="21276" xr:uid="{00000000-0005-0000-0000-00001C530000}"/>
    <cellStyle name="Normal 248 2 3 5 2" xfId="21277" xr:uid="{00000000-0005-0000-0000-00001D530000}"/>
    <cellStyle name="Normal 248 2 3 5 2 2" xfId="21278" xr:uid="{00000000-0005-0000-0000-00001E530000}"/>
    <cellStyle name="Normal 248 2 3 5 3" xfId="21279" xr:uid="{00000000-0005-0000-0000-00001F530000}"/>
    <cellStyle name="Normal 248 2 3 6" xfId="21280" xr:uid="{00000000-0005-0000-0000-000020530000}"/>
    <cellStyle name="Normal 248 2 4" xfId="21281" xr:uid="{00000000-0005-0000-0000-000021530000}"/>
    <cellStyle name="Normal 248 2 4 2" xfId="21282" xr:uid="{00000000-0005-0000-0000-000022530000}"/>
    <cellStyle name="Normal 248 2 4 2 2" xfId="21283" xr:uid="{00000000-0005-0000-0000-000023530000}"/>
    <cellStyle name="Normal 248 2 4 3" xfId="21284" xr:uid="{00000000-0005-0000-0000-000024530000}"/>
    <cellStyle name="Normal 248 2 5" xfId="21285" xr:uid="{00000000-0005-0000-0000-000025530000}"/>
    <cellStyle name="Normal 248 2 5 2" xfId="21286" xr:uid="{00000000-0005-0000-0000-000026530000}"/>
    <cellStyle name="Normal 248 2 5 2 2" xfId="21287" xr:uid="{00000000-0005-0000-0000-000027530000}"/>
    <cellStyle name="Normal 248 2 5 3" xfId="21288" xr:uid="{00000000-0005-0000-0000-000028530000}"/>
    <cellStyle name="Normal 248 2 6" xfId="21289" xr:uid="{00000000-0005-0000-0000-000029530000}"/>
    <cellStyle name="Normal 248 2 6 2" xfId="21290" xr:uid="{00000000-0005-0000-0000-00002A530000}"/>
    <cellStyle name="Normal 248 2 6 2 2" xfId="21291" xr:uid="{00000000-0005-0000-0000-00002B530000}"/>
    <cellStyle name="Normal 248 2 6 3" xfId="21292" xr:uid="{00000000-0005-0000-0000-00002C530000}"/>
    <cellStyle name="Normal 248 2 7" xfId="21293" xr:uid="{00000000-0005-0000-0000-00002D530000}"/>
    <cellStyle name="Normal 248 3" xfId="21294" xr:uid="{00000000-0005-0000-0000-00002E530000}"/>
    <cellStyle name="Normal 248 3 2" xfId="21295" xr:uid="{00000000-0005-0000-0000-00002F530000}"/>
    <cellStyle name="Normal 248 3 2 2" xfId="21296" xr:uid="{00000000-0005-0000-0000-000030530000}"/>
    <cellStyle name="Normal 248 3 3" xfId="21297" xr:uid="{00000000-0005-0000-0000-000031530000}"/>
    <cellStyle name="Normal 248 3 3 2" xfId="21298" xr:uid="{00000000-0005-0000-0000-000032530000}"/>
    <cellStyle name="Normal 248 3 3 2 2" xfId="21299" xr:uid="{00000000-0005-0000-0000-000033530000}"/>
    <cellStyle name="Normal 248 3 3 3" xfId="21300" xr:uid="{00000000-0005-0000-0000-000034530000}"/>
    <cellStyle name="Normal 248 3 4" xfId="21301" xr:uid="{00000000-0005-0000-0000-000035530000}"/>
    <cellStyle name="Normal 248 3 4 2" xfId="21302" xr:uid="{00000000-0005-0000-0000-000036530000}"/>
    <cellStyle name="Normal 248 3 4 2 2" xfId="21303" xr:uid="{00000000-0005-0000-0000-000037530000}"/>
    <cellStyle name="Normal 248 3 4 3" xfId="21304" xr:uid="{00000000-0005-0000-0000-000038530000}"/>
    <cellStyle name="Normal 248 3 5" xfId="21305" xr:uid="{00000000-0005-0000-0000-000039530000}"/>
    <cellStyle name="Normal 248 4" xfId="21306" xr:uid="{00000000-0005-0000-0000-00003A530000}"/>
    <cellStyle name="Normal 248 4 2" xfId="21307" xr:uid="{00000000-0005-0000-0000-00003B530000}"/>
    <cellStyle name="Normal 248 4 2 2" xfId="21308" xr:uid="{00000000-0005-0000-0000-00003C530000}"/>
    <cellStyle name="Normal 248 4 2 2 2" xfId="21309" xr:uid="{00000000-0005-0000-0000-00003D530000}"/>
    <cellStyle name="Normal 248 4 2 3" xfId="21310" xr:uid="{00000000-0005-0000-0000-00003E530000}"/>
    <cellStyle name="Normal 248 4 2 3 2" xfId="21311" xr:uid="{00000000-0005-0000-0000-00003F530000}"/>
    <cellStyle name="Normal 248 4 2 3 2 2" xfId="21312" xr:uid="{00000000-0005-0000-0000-000040530000}"/>
    <cellStyle name="Normal 248 4 2 3 3" xfId="21313" xr:uid="{00000000-0005-0000-0000-000041530000}"/>
    <cellStyle name="Normal 248 4 2 4" xfId="21314" xr:uid="{00000000-0005-0000-0000-000042530000}"/>
    <cellStyle name="Normal 248 4 3" xfId="21315" xr:uid="{00000000-0005-0000-0000-000043530000}"/>
    <cellStyle name="Normal 248 4 3 2" xfId="21316" xr:uid="{00000000-0005-0000-0000-000044530000}"/>
    <cellStyle name="Normal 248 4 3 2 2" xfId="21317" xr:uid="{00000000-0005-0000-0000-000045530000}"/>
    <cellStyle name="Normal 248 4 3 3" xfId="21318" xr:uid="{00000000-0005-0000-0000-000046530000}"/>
    <cellStyle name="Normal 248 4 4" xfId="21319" xr:uid="{00000000-0005-0000-0000-000047530000}"/>
    <cellStyle name="Normal 248 4 4 2" xfId="21320" xr:uid="{00000000-0005-0000-0000-000048530000}"/>
    <cellStyle name="Normal 248 4 4 2 2" xfId="21321" xr:uid="{00000000-0005-0000-0000-000049530000}"/>
    <cellStyle name="Normal 248 4 4 3" xfId="21322" xr:uid="{00000000-0005-0000-0000-00004A530000}"/>
    <cellStyle name="Normal 248 4 5" xfId="21323" xr:uid="{00000000-0005-0000-0000-00004B530000}"/>
    <cellStyle name="Normal 248 4 5 2" xfId="21324" xr:uid="{00000000-0005-0000-0000-00004C530000}"/>
    <cellStyle name="Normal 248 4 5 2 2" xfId="21325" xr:uid="{00000000-0005-0000-0000-00004D530000}"/>
    <cellStyle name="Normal 248 4 5 3" xfId="21326" xr:uid="{00000000-0005-0000-0000-00004E530000}"/>
    <cellStyle name="Normal 248 4 6" xfId="21327" xr:uid="{00000000-0005-0000-0000-00004F530000}"/>
    <cellStyle name="Normal 248 5" xfId="21328" xr:uid="{00000000-0005-0000-0000-000050530000}"/>
    <cellStyle name="Normal 248 5 2" xfId="21329" xr:uid="{00000000-0005-0000-0000-000051530000}"/>
    <cellStyle name="Normal 248 5 2 2" xfId="21330" xr:uid="{00000000-0005-0000-0000-000052530000}"/>
    <cellStyle name="Normal 248 5 3" xfId="21331" xr:uid="{00000000-0005-0000-0000-000053530000}"/>
    <cellStyle name="Normal 248 6" xfId="21332" xr:uid="{00000000-0005-0000-0000-000054530000}"/>
    <cellStyle name="Normal 248 6 2" xfId="21333" xr:uid="{00000000-0005-0000-0000-000055530000}"/>
    <cellStyle name="Normal 248 6 2 2" xfId="21334" xr:uid="{00000000-0005-0000-0000-000056530000}"/>
    <cellStyle name="Normal 248 6 3" xfId="21335" xr:uid="{00000000-0005-0000-0000-000057530000}"/>
    <cellStyle name="Normal 248 7" xfId="21336" xr:uid="{00000000-0005-0000-0000-000058530000}"/>
    <cellStyle name="Normal 248 7 2" xfId="21337" xr:uid="{00000000-0005-0000-0000-000059530000}"/>
    <cellStyle name="Normal 248 7 2 2" xfId="21338" xr:uid="{00000000-0005-0000-0000-00005A530000}"/>
    <cellStyle name="Normal 248 7 3" xfId="21339" xr:uid="{00000000-0005-0000-0000-00005B530000}"/>
    <cellStyle name="Normal 248 8" xfId="21340" xr:uid="{00000000-0005-0000-0000-00005C530000}"/>
    <cellStyle name="Normal 249" xfId="21341" xr:uid="{00000000-0005-0000-0000-00005D530000}"/>
    <cellStyle name="Normal 249 2" xfId="21342" xr:uid="{00000000-0005-0000-0000-00005E530000}"/>
    <cellStyle name="Normal 249 2 2" xfId="21343" xr:uid="{00000000-0005-0000-0000-00005F530000}"/>
    <cellStyle name="Normal 249 2 2 2" xfId="21344" xr:uid="{00000000-0005-0000-0000-000060530000}"/>
    <cellStyle name="Normal 249 2 2 2 2" xfId="21345" xr:uid="{00000000-0005-0000-0000-000061530000}"/>
    <cellStyle name="Normal 249 2 2 3" xfId="21346" xr:uid="{00000000-0005-0000-0000-000062530000}"/>
    <cellStyle name="Normal 249 2 2 3 2" xfId="21347" xr:uid="{00000000-0005-0000-0000-000063530000}"/>
    <cellStyle name="Normal 249 2 2 3 2 2" xfId="21348" xr:uid="{00000000-0005-0000-0000-000064530000}"/>
    <cellStyle name="Normal 249 2 2 3 3" xfId="21349" xr:uid="{00000000-0005-0000-0000-000065530000}"/>
    <cellStyle name="Normal 249 2 2 4" xfId="21350" xr:uid="{00000000-0005-0000-0000-000066530000}"/>
    <cellStyle name="Normal 249 2 2 4 2" xfId="21351" xr:uid="{00000000-0005-0000-0000-000067530000}"/>
    <cellStyle name="Normal 249 2 2 4 2 2" xfId="21352" xr:uid="{00000000-0005-0000-0000-000068530000}"/>
    <cellStyle name="Normal 249 2 2 4 3" xfId="21353" xr:uid="{00000000-0005-0000-0000-000069530000}"/>
    <cellStyle name="Normal 249 2 2 5" xfId="21354" xr:uid="{00000000-0005-0000-0000-00006A530000}"/>
    <cellStyle name="Normal 249 2 3" xfId="21355" xr:uid="{00000000-0005-0000-0000-00006B530000}"/>
    <cellStyle name="Normal 249 2 3 2" xfId="21356" xr:uid="{00000000-0005-0000-0000-00006C530000}"/>
    <cellStyle name="Normal 249 2 3 2 2" xfId="21357" xr:uid="{00000000-0005-0000-0000-00006D530000}"/>
    <cellStyle name="Normal 249 2 3 2 2 2" xfId="21358" xr:uid="{00000000-0005-0000-0000-00006E530000}"/>
    <cellStyle name="Normal 249 2 3 2 3" xfId="21359" xr:uid="{00000000-0005-0000-0000-00006F530000}"/>
    <cellStyle name="Normal 249 2 3 2 3 2" xfId="21360" xr:uid="{00000000-0005-0000-0000-000070530000}"/>
    <cellStyle name="Normal 249 2 3 2 3 2 2" xfId="21361" xr:uid="{00000000-0005-0000-0000-000071530000}"/>
    <cellStyle name="Normal 249 2 3 2 3 3" xfId="21362" xr:uid="{00000000-0005-0000-0000-000072530000}"/>
    <cellStyle name="Normal 249 2 3 2 4" xfId="21363" xr:uid="{00000000-0005-0000-0000-000073530000}"/>
    <cellStyle name="Normal 249 2 3 3" xfId="21364" xr:uid="{00000000-0005-0000-0000-000074530000}"/>
    <cellStyle name="Normal 249 2 3 3 2" xfId="21365" xr:uid="{00000000-0005-0000-0000-000075530000}"/>
    <cellStyle name="Normal 249 2 3 3 2 2" xfId="21366" xr:uid="{00000000-0005-0000-0000-000076530000}"/>
    <cellStyle name="Normal 249 2 3 3 3" xfId="21367" xr:uid="{00000000-0005-0000-0000-000077530000}"/>
    <cellStyle name="Normal 249 2 3 4" xfId="21368" xr:uid="{00000000-0005-0000-0000-000078530000}"/>
    <cellStyle name="Normal 249 2 3 4 2" xfId="21369" xr:uid="{00000000-0005-0000-0000-000079530000}"/>
    <cellStyle name="Normal 249 2 3 4 2 2" xfId="21370" xr:uid="{00000000-0005-0000-0000-00007A530000}"/>
    <cellStyle name="Normal 249 2 3 4 3" xfId="21371" xr:uid="{00000000-0005-0000-0000-00007B530000}"/>
    <cellStyle name="Normal 249 2 3 5" xfId="21372" xr:uid="{00000000-0005-0000-0000-00007C530000}"/>
    <cellStyle name="Normal 249 2 3 5 2" xfId="21373" xr:uid="{00000000-0005-0000-0000-00007D530000}"/>
    <cellStyle name="Normal 249 2 3 5 2 2" xfId="21374" xr:uid="{00000000-0005-0000-0000-00007E530000}"/>
    <cellStyle name="Normal 249 2 3 5 3" xfId="21375" xr:uid="{00000000-0005-0000-0000-00007F530000}"/>
    <cellStyle name="Normal 249 2 3 6" xfId="21376" xr:uid="{00000000-0005-0000-0000-000080530000}"/>
    <cellStyle name="Normal 249 2 4" xfId="21377" xr:uid="{00000000-0005-0000-0000-000081530000}"/>
    <cellStyle name="Normal 249 2 4 2" xfId="21378" xr:uid="{00000000-0005-0000-0000-000082530000}"/>
    <cellStyle name="Normal 249 2 4 2 2" xfId="21379" xr:uid="{00000000-0005-0000-0000-000083530000}"/>
    <cellStyle name="Normal 249 2 4 3" xfId="21380" xr:uid="{00000000-0005-0000-0000-000084530000}"/>
    <cellStyle name="Normal 249 2 5" xfId="21381" xr:uid="{00000000-0005-0000-0000-000085530000}"/>
    <cellStyle name="Normal 249 2 5 2" xfId="21382" xr:uid="{00000000-0005-0000-0000-000086530000}"/>
    <cellStyle name="Normal 249 2 5 2 2" xfId="21383" xr:uid="{00000000-0005-0000-0000-000087530000}"/>
    <cellStyle name="Normal 249 2 5 3" xfId="21384" xr:uid="{00000000-0005-0000-0000-000088530000}"/>
    <cellStyle name="Normal 249 2 6" xfId="21385" xr:uid="{00000000-0005-0000-0000-000089530000}"/>
    <cellStyle name="Normal 249 2 6 2" xfId="21386" xr:uid="{00000000-0005-0000-0000-00008A530000}"/>
    <cellStyle name="Normal 249 2 6 2 2" xfId="21387" xr:uid="{00000000-0005-0000-0000-00008B530000}"/>
    <cellStyle name="Normal 249 2 6 3" xfId="21388" xr:uid="{00000000-0005-0000-0000-00008C530000}"/>
    <cellStyle name="Normal 249 2 7" xfId="21389" xr:uid="{00000000-0005-0000-0000-00008D530000}"/>
    <cellStyle name="Normal 249 3" xfId="21390" xr:uid="{00000000-0005-0000-0000-00008E530000}"/>
    <cellStyle name="Normal 249 3 2" xfId="21391" xr:uid="{00000000-0005-0000-0000-00008F530000}"/>
    <cellStyle name="Normal 249 3 2 2" xfId="21392" xr:uid="{00000000-0005-0000-0000-000090530000}"/>
    <cellStyle name="Normal 249 3 3" xfId="21393" xr:uid="{00000000-0005-0000-0000-000091530000}"/>
    <cellStyle name="Normal 249 3 3 2" xfId="21394" xr:uid="{00000000-0005-0000-0000-000092530000}"/>
    <cellStyle name="Normal 249 3 3 2 2" xfId="21395" xr:uid="{00000000-0005-0000-0000-000093530000}"/>
    <cellStyle name="Normal 249 3 3 3" xfId="21396" xr:uid="{00000000-0005-0000-0000-000094530000}"/>
    <cellStyle name="Normal 249 3 4" xfId="21397" xr:uid="{00000000-0005-0000-0000-000095530000}"/>
    <cellStyle name="Normal 249 3 4 2" xfId="21398" xr:uid="{00000000-0005-0000-0000-000096530000}"/>
    <cellStyle name="Normal 249 3 4 2 2" xfId="21399" xr:uid="{00000000-0005-0000-0000-000097530000}"/>
    <cellStyle name="Normal 249 3 4 3" xfId="21400" xr:uid="{00000000-0005-0000-0000-000098530000}"/>
    <cellStyle name="Normal 249 3 5" xfId="21401" xr:uid="{00000000-0005-0000-0000-000099530000}"/>
    <cellStyle name="Normal 249 4" xfId="21402" xr:uid="{00000000-0005-0000-0000-00009A530000}"/>
    <cellStyle name="Normal 249 4 2" xfId="21403" xr:uid="{00000000-0005-0000-0000-00009B530000}"/>
    <cellStyle name="Normal 249 4 2 2" xfId="21404" xr:uid="{00000000-0005-0000-0000-00009C530000}"/>
    <cellStyle name="Normal 249 4 2 2 2" xfId="21405" xr:uid="{00000000-0005-0000-0000-00009D530000}"/>
    <cellStyle name="Normal 249 4 2 3" xfId="21406" xr:uid="{00000000-0005-0000-0000-00009E530000}"/>
    <cellStyle name="Normal 249 4 2 3 2" xfId="21407" xr:uid="{00000000-0005-0000-0000-00009F530000}"/>
    <cellStyle name="Normal 249 4 2 3 2 2" xfId="21408" xr:uid="{00000000-0005-0000-0000-0000A0530000}"/>
    <cellStyle name="Normal 249 4 2 3 3" xfId="21409" xr:uid="{00000000-0005-0000-0000-0000A1530000}"/>
    <cellStyle name="Normal 249 4 2 4" xfId="21410" xr:uid="{00000000-0005-0000-0000-0000A2530000}"/>
    <cellStyle name="Normal 249 4 3" xfId="21411" xr:uid="{00000000-0005-0000-0000-0000A3530000}"/>
    <cellStyle name="Normal 249 4 3 2" xfId="21412" xr:uid="{00000000-0005-0000-0000-0000A4530000}"/>
    <cellStyle name="Normal 249 4 3 2 2" xfId="21413" xr:uid="{00000000-0005-0000-0000-0000A5530000}"/>
    <cellStyle name="Normal 249 4 3 3" xfId="21414" xr:uid="{00000000-0005-0000-0000-0000A6530000}"/>
    <cellStyle name="Normal 249 4 4" xfId="21415" xr:uid="{00000000-0005-0000-0000-0000A7530000}"/>
    <cellStyle name="Normal 249 4 4 2" xfId="21416" xr:uid="{00000000-0005-0000-0000-0000A8530000}"/>
    <cellStyle name="Normal 249 4 4 2 2" xfId="21417" xr:uid="{00000000-0005-0000-0000-0000A9530000}"/>
    <cellStyle name="Normal 249 4 4 3" xfId="21418" xr:uid="{00000000-0005-0000-0000-0000AA530000}"/>
    <cellStyle name="Normal 249 4 5" xfId="21419" xr:uid="{00000000-0005-0000-0000-0000AB530000}"/>
    <cellStyle name="Normal 249 4 5 2" xfId="21420" xr:uid="{00000000-0005-0000-0000-0000AC530000}"/>
    <cellStyle name="Normal 249 4 5 2 2" xfId="21421" xr:uid="{00000000-0005-0000-0000-0000AD530000}"/>
    <cellStyle name="Normal 249 4 5 3" xfId="21422" xr:uid="{00000000-0005-0000-0000-0000AE530000}"/>
    <cellStyle name="Normal 249 4 6" xfId="21423" xr:uid="{00000000-0005-0000-0000-0000AF530000}"/>
    <cellStyle name="Normal 249 5" xfId="21424" xr:uid="{00000000-0005-0000-0000-0000B0530000}"/>
    <cellStyle name="Normal 249 5 2" xfId="21425" xr:uid="{00000000-0005-0000-0000-0000B1530000}"/>
    <cellStyle name="Normal 249 5 2 2" xfId="21426" xr:uid="{00000000-0005-0000-0000-0000B2530000}"/>
    <cellStyle name="Normal 249 5 3" xfId="21427" xr:uid="{00000000-0005-0000-0000-0000B3530000}"/>
    <cellStyle name="Normal 249 6" xfId="21428" xr:uid="{00000000-0005-0000-0000-0000B4530000}"/>
    <cellStyle name="Normal 249 6 2" xfId="21429" xr:uid="{00000000-0005-0000-0000-0000B5530000}"/>
    <cellStyle name="Normal 249 6 2 2" xfId="21430" xr:uid="{00000000-0005-0000-0000-0000B6530000}"/>
    <cellStyle name="Normal 249 6 3" xfId="21431" xr:uid="{00000000-0005-0000-0000-0000B7530000}"/>
    <cellStyle name="Normal 249 7" xfId="21432" xr:uid="{00000000-0005-0000-0000-0000B8530000}"/>
    <cellStyle name="Normal 249 7 2" xfId="21433" xr:uid="{00000000-0005-0000-0000-0000B9530000}"/>
    <cellStyle name="Normal 249 7 2 2" xfId="21434" xr:uid="{00000000-0005-0000-0000-0000BA530000}"/>
    <cellStyle name="Normal 249 7 3" xfId="21435" xr:uid="{00000000-0005-0000-0000-0000BB530000}"/>
    <cellStyle name="Normal 249 8" xfId="21436" xr:uid="{00000000-0005-0000-0000-0000BC530000}"/>
    <cellStyle name="Normal 25" xfId="21437" xr:uid="{00000000-0005-0000-0000-0000BD530000}"/>
    <cellStyle name="Normal 25 2" xfId="21438" xr:uid="{00000000-0005-0000-0000-0000BE530000}"/>
    <cellStyle name="Normal 25 2 2" xfId="21439" xr:uid="{00000000-0005-0000-0000-0000BF530000}"/>
    <cellStyle name="Normal 25 2 2 2" xfId="21440" xr:uid="{00000000-0005-0000-0000-0000C0530000}"/>
    <cellStyle name="Normal 25 2 2 2 2" xfId="21441" xr:uid="{00000000-0005-0000-0000-0000C1530000}"/>
    <cellStyle name="Normal 25 2 2 3" xfId="21442" xr:uid="{00000000-0005-0000-0000-0000C2530000}"/>
    <cellStyle name="Normal 25 2 2 3 2" xfId="21443" xr:uid="{00000000-0005-0000-0000-0000C3530000}"/>
    <cellStyle name="Normal 25 2 2 3 2 2" xfId="21444" xr:uid="{00000000-0005-0000-0000-0000C4530000}"/>
    <cellStyle name="Normal 25 2 2 3 3" xfId="21445" xr:uid="{00000000-0005-0000-0000-0000C5530000}"/>
    <cellStyle name="Normal 25 2 2 4" xfId="21446" xr:uid="{00000000-0005-0000-0000-0000C6530000}"/>
    <cellStyle name="Normal 25 2 2 4 2" xfId="21447" xr:uid="{00000000-0005-0000-0000-0000C7530000}"/>
    <cellStyle name="Normal 25 2 2 4 2 2" xfId="21448" xr:uid="{00000000-0005-0000-0000-0000C8530000}"/>
    <cellStyle name="Normal 25 2 2 4 3" xfId="21449" xr:uid="{00000000-0005-0000-0000-0000C9530000}"/>
    <cellStyle name="Normal 25 2 2 5" xfId="21450" xr:uid="{00000000-0005-0000-0000-0000CA530000}"/>
    <cellStyle name="Normal 25 2 3" xfId="21451" xr:uid="{00000000-0005-0000-0000-0000CB530000}"/>
    <cellStyle name="Normal 25 2 3 2" xfId="21452" xr:uid="{00000000-0005-0000-0000-0000CC530000}"/>
    <cellStyle name="Normal 25 2 3 2 2" xfId="21453" xr:uid="{00000000-0005-0000-0000-0000CD530000}"/>
    <cellStyle name="Normal 25 2 3 3" xfId="21454" xr:uid="{00000000-0005-0000-0000-0000CE530000}"/>
    <cellStyle name="Normal 25 2 4" xfId="21455" xr:uid="{00000000-0005-0000-0000-0000CF530000}"/>
    <cellStyle name="Normal 25 2 4 2" xfId="21456" xr:uid="{00000000-0005-0000-0000-0000D0530000}"/>
    <cellStyle name="Normal 25 2 4 2 2" xfId="21457" xr:uid="{00000000-0005-0000-0000-0000D1530000}"/>
    <cellStyle name="Normal 25 2 4 3" xfId="21458" xr:uid="{00000000-0005-0000-0000-0000D2530000}"/>
    <cellStyle name="Normal 25 2 5" xfId="21459" xr:uid="{00000000-0005-0000-0000-0000D3530000}"/>
    <cellStyle name="Normal 25 2 5 2" xfId="21460" xr:uid="{00000000-0005-0000-0000-0000D4530000}"/>
    <cellStyle name="Normal 25 2 5 2 2" xfId="21461" xr:uid="{00000000-0005-0000-0000-0000D5530000}"/>
    <cellStyle name="Normal 25 2 5 3" xfId="21462" xr:uid="{00000000-0005-0000-0000-0000D6530000}"/>
    <cellStyle name="Normal 25 2 6" xfId="21463" xr:uid="{00000000-0005-0000-0000-0000D7530000}"/>
    <cellStyle name="Normal 25 3" xfId="21464" xr:uid="{00000000-0005-0000-0000-0000D8530000}"/>
    <cellStyle name="Normal 25 3 2" xfId="21465" xr:uid="{00000000-0005-0000-0000-0000D9530000}"/>
    <cellStyle name="Normal 25 3 2 2" xfId="21466" xr:uid="{00000000-0005-0000-0000-0000DA530000}"/>
    <cellStyle name="Normal 25 3 3" xfId="21467" xr:uid="{00000000-0005-0000-0000-0000DB530000}"/>
    <cellStyle name="Normal 25 3 3 2" xfId="21468" xr:uid="{00000000-0005-0000-0000-0000DC530000}"/>
    <cellStyle name="Normal 25 3 3 2 2" xfId="21469" xr:uid="{00000000-0005-0000-0000-0000DD530000}"/>
    <cellStyle name="Normal 25 3 3 3" xfId="21470" xr:uid="{00000000-0005-0000-0000-0000DE530000}"/>
    <cellStyle name="Normal 25 3 4" xfId="21471" xr:uid="{00000000-0005-0000-0000-0000DF530000}"/>
    <cellStyle name="Normal 25 3 4 2" xfId="21472" xr:uid="{00000000-0005-0000-0000-0000E0530000}"/>
    <cellStyle name="Normal 25 3 4 2 2" xfId="21473" xr:uid="{00000000-0005-0000-0000-0000E1530000}"/>
    <cellStyle name="Normal 25 3 4 3" xfId="21474" xr:uid="{00000000-0005-0000-0000-0000E2530000}"/>
    <cellStyle name="Normal 25 3 5" xfId="21475" xr:uid="{00000000-0005-0000-0000-0000E3530000}"/>
    <cellStyle name="Normal 25 4" xfId="21476" xr:uid="{00000000-0005-0000-0000-0000E4530000}"/>
    <cellStyle name="Normal 25 4 2" xfId="21477" xr:uid="{00000000-0005-0000-0000-0000E5530000}"/>
    <cellStyle name="Normal 25 4 2 2" xfId="21478" xr:uid="{00000000-0005-0000-0000-0000E6530000}"/>
    <cellStyle name="Normal 25 4 3" xfId="21479" xr:uid="{00000000-0005-0000-0000-0000E7530000}"/>
    <cellStyle name="Normal 25 4 3 2" xfId="21480" xr:uid="{00000000-0005-0000-0000-0000E8530000}"/>
    <cellStyle name="Normal 25 4 3 2 2" xfId="21481" xr:uid="{00000000-0005-0000-0000-0000E9530000}"/>
    <cellStyle name="Normal 25 4 3 3" xfId="21482" xr:uid="{00000000-0005-0000-0000-0000EA530000}"/>
    <cellStyle name="Normal 25 4 4" xfId="21483" xr:uid="{00000000-0005-0000-0000-0000EB530000}"/>
    <cellStyle name="Normal 25 4 4 2" xfId="21484" xr:uid="{00000000-0005-0000-0000-0000EC530000}"/>
    <cellStyle name="Normal 25 4 4 2 2" xfId="21485" xr:uid="{00000000-0005-0000-0000-0000ED530000}"/>
    <cellStyle name="Normal 25 4 4 3" xfId="21486" xr:uid="{00000000-0005-0000-0000-0000EE530000}"/>
    <cellStyle name="Normal 25 4 5" xfId="21487" xr:uid="{00000000-0005-0000-0000-0000EF530000}"/>
    <cellStyle name="Normal 25 5" xfId="21488" xr:uid="{00000000-0005-0000-0000-0000F0530000}"/>
    <cellStyle name="Normal 25 5 2" xfId="21489" xr:uid="{00000000-0005-0000-0000-0000F1530000}"/>
    <cellStyle name="Normal 25 5 2 2" xfId="21490" xr:uid="{00000000-0005-0000-0000-0000F2530000}"/>
    <cellStyle name="Normal 25 5 3" xfId="21491" xr:uid="{00000000-0005-0000-0000-0000F3530000}"/>
    <cellStyle name="Normal 25 6" xfId="21492" xr:uid="{00000000-0005-0000-0000-0000F4530000}"/>
    <cellStyle name="Normal 25 6 2" xfId="21493" xr:uid="{00000000-0005-0000-0000-0000F5530000}"/>
    <cellStyle name="Normal 25 6 2 2" xfId="21494" xr:uid="{00000000-0005-0000-0000-0000F6530000}"/>
    <cellStyle name="Normal 25 6 3" xfId="21495" xr:uid="{00000000-0005-0000-0000-0000F7530000}"/>
    <cellStyle name="Normal 25 7" xfId="21496" xr:uid="{00000000-0005-0000-0000-0000F8530000}"/>
    <cellStyle name="Normal 25 7 2" xfId="21497" xr:uid="{00000000-0005-0000-0000-0000F9530000}"/>
    <cellStyle name="Normal 25 7 2 2" xfId="21498" xr:uid="{00000000-0005-0000-0000-0000FA530000}"/>
    <cellStyle name="Normal 25 7 3" xfId="21499" xr:uid="{00000000-0005-0000-0000-0000FB530000}"/>
    <cellStyle name="Normal 25 8" xfId="21500" xr:uid="{00000000-0005-0000-0000-0000FC530000}"/>
    <cellStyle name="Normal 250" xfId="21501" xr:uid="{00000000-0005-0000-0000-0000FD530000}"/>
    <cellStyle name="Normal 250 2" xfId="21502" xr:uid="{00000000-0005-0000-0000-0000FE530000}"/>
    <cellStyle name="Normal 250 2 2" xfId="21503" xr:uid="{00000000-0005-0000-0000-0000FF530000}"/>
    <cellStyle name="Normal 250 2 2 2" xfId="21504" xr:uid="{00000000-0005-0000-0000-000000540000}"/>
    <cellStyle name="Normal 250 2 2 2 2" xfId="21505" xr:uid="{00000000-0005-0000-0000-000001540000}"/>
    <cellStyle name="Normal 250 2 2 3" xfId="21506" xr:uid="{00000000-0005-0000-0000-000002540000}"/>
    <cellStyle name="Normal 250 2 2 3 2" xfId="21507" xr:uid="{00000000-0005-0000-0000-000003540000}"/>
    <cellStyle name="Normal 250 2 2 3 2 2" xfId="21508" xr:uid="{00000000-0005-0000-0000-000004540000}"/>
    <cellStyle name="Normal 250 2 2 3 3" xfId="21509" xr:uid="{00000000-0005-0000-0000-000005540000}"/>
    <cellStyle name="Normal 250 2 2 4" xfId="21510" xr:uid="{00000000-0005-0000-0000-000006540000}"/>
    <cellStyle name="Normal 250 2 2 4 2" xfId="21511" xr:uid="{00000000-0005-0000-0000-000007540000}"/>
    <cellStyle name="Normal 250 2 2 4 2 2" xfId="21512" xr:uid="{00000000-0005-0000-0000-000008540000}"/>
    <cellStyle name="Normal 250 2 2 4 3" xfId="21513" xr:uid="{00000000-0005-0000-0000-000009540000}"/>
    <cellStyle name="Normal 250 2 2 5" xfId="21514" xr:uid="{00000000-0005-0000-0000-00000A540000}"/>
    <cellStyle name="Normal 250 2 3" xfId="21515" xr:uid="{00000000-0005-0000-0000-00000B540000}"/>
    <cellStyle name="Normal 250 2 3 2" xfId="21516" xr:uid="{00000000-0005-0000-0000-00000C540000}"/>
    <cellStyle name="Normal 250 2 3 2 2" xfId="21517" xr:uid="{00000000-0005-0000-0000-00000D540000}"/>
    <cellStyle name="Normal 250 2 3 2 2 2" xfId="21518" xr:uid="{00000000-0005-0000-0000-00000E540000}"/>
    <cellStyle name="Normal 250 2 3 2 3" xfId="21519" xr:uid="{00000000-0005-0000-0000-00000F540000}"/>
    <cellStyle name="Normal 250 2 3 2 3 2" xfId="21520" xr:uid="{00000000-0005-0000-0000-000010540000}"/>
    <cellStyle name="Normal 250 2 3 2 3 2 2" xfId="21521" xr:uid="{00000000-0005-0000-0000-000011540000}"/>
    <cellStyle name="Normal 250 2 3 2 3 3" xfId="21522" xr:uid="{00000000-0005-0000-0000-000012540000}"/>
    <cellStyle name="Normal 250 2 3 2 4" xfId="21523" xr:uid="{00000000-0005-0000-0000-000013540000}"/>
    <cellStyle name="Normal 250 2 3 3" xfId="21524" xr:uid="{00000000-0005-0000-0000-000014540000}"/>
    <cellStyle name="Normal 250 2 3 3 2" xfId="21525" xr:uid="{00000000-0005-0000-0000-000015540000}"/>
    <cellStyle name="Normal 250 2 3 3 2 2" xfId="21526" xr:uid="{00000000-0005-0000-0000-000016540000}"/>
    <cellStyle name="Normal 250 2 3 3 3" xfId="21527" xr:uid="{00000000-0005-0000-0000-000017540000}"/>
    <cellStyle name="Normal 250 2 3 4" xfId="21528" xr:uid="{00000000-0005-0000-0000-000018540000}"/>
    <cellStyle name="Normal 250 2 3 4 2" xfId="21529" xr:uid="{00000000-0005-0000-0000-000019540000}"/>
    <cellStyle name="Normal 250 2 3 4 2 2" xfId="21530" xr:uid="{00000000-0005-0000-0000-00001A540000}"/>
    <cellStyle name="Normal 250 2 3 4 3" xfId="21531" xr:uid="{00000000-0005-0000-0000-00001B540000}"/>
    <cellStyle name="Normal 250 2 3 5" xfId="21532" xr:uid="{00000000-0005-0000-0000-00001C540000}"/>
    <cellStyle name="Normal 250 2 3 5 2" xfId="21533" xr:uid="{00000000-0005-0000-0000-00001D540000}"/>
    <cellStyle name="Normal 250 2 3 5 2 2" xfId="21534" xr:uid="{00000000-0005-0000-0000-00001E540000}"/>
    <cellStyle name="Normal 250 2 3 5 3" xfId="21535" xr:uid="{00000000-0005-0000-0000-00001F540000}"/>
    <cellStyle name="Normal 250 2 3 6" xfId="21536" xr:uid="{00000000-0005-0000-0000-000020540000}"/>
    <cellStyle name="Normal 250 2 4" xfId="21537" xr:uid="{00000000-0005-0000-0000-000021540000}"/>
    <cellStyle name="Normal 250 2 4 2" xfId="21538" xr:uid="{00000000-0005-0000-0000-000022540000}"/>
    <cellStyle name="Normal 250 2 4 2 2" xfId="21539" xr:uid="{00000000-0005-0000-0000-000023540000}"/>
    <cellStyle name="Normal 250 2 4 3" xfId="21540" xr:uid="{00000000-0005-0000-0000-000024540000}"/>
    <cellStyle name="Normal 250 2 5" xfId="21541" xr:uid="{00000000-0005-0000-0000-000025540000}"/>
    <cellStyle name="Normal 250 2 5 2" xfId="21542" xr:uid="{00000000-0005-0000-0000-000026540000}"/>
    <cellStyle name="Normal 250 2 5 2 2" xfId="21543" xr:uid="{00000000-0005-0000-0000-000027540000}"/>
    <cellStyle name="Normal 250 2 5 3" xfId="21544" xr:uid="{00000000-0005-0000-0000-000028540000}"/>
    <cellStyle name="Normal 250 2 6" xfId="21545" xr:uid="{00000000-0005-0000-0000-000029540000}"/>
    <cellStyle name="Normal 250 2 6 2" xfId="21546" xr:uid="{00000000-0005-0000-0000-00002A540000}"/>
    <cellStyle name="Normal 250 2 6 2 2" xfId="21547" xr:uid="{00000000-0005-0000-0000-00002B540000}"/>
    <cellStyle name="Normal 250 2 6 3" xfId="21548" xr:uid="{00000000-0005-0000-0000-00002C540000}"/>
    <cellStyle name="Normal 250 2 7" xfId="21549" xr:uid="{00000000-0005-0000-0000-00002D540000}"/>
    <cellStyle name="Normal 250 3" xfId="21550" xr:uid="{00000000-0005-0000-0000-00002E540000}"/>
    <cellStyle name="Normal 250 3 2" xfId="21551" xr:uid="{00000000-0005-0000-0000-00002F540000}"/>
    <cellStyle name="Normal 250 3 2 2" xfId="21552" xr:uid="{00000000-0005-0000-0000-000030540000}"/>
    <cellStyle name="Normal 250 3 3" xfId="21553" xr:uid="{00000000-0005-0000-0000-000031540000}"/>
    <cellStyle name="Normal 250 3 3 2" xfId="21554" xr:uid="{00000000-0005-0000-0000-000032540000}"/>
    <cellStyle name="Normal 250 3 3 2 2" xfId="21555" xr:uid="{00000000-0005-0000-0000-000033540000}"/>
    <cellStyle name="Normal 250 3 3 3" xfId="21556" xr:uid="{00000000-0005-0000-0000-000034540000}"/>
    <cellStyle name="Normal 250 3 4" xfId="21557" xr:uid="{00000000-0005-0000-0000-000035540000}"/>
    <cellStyle name="Normal 250 3 4 2" xfId="21558" xr:uid="{00000000-0005-0000-0000-000036540000}"/>
    <cellStyle name="Normal 250 3 4 2 2" xfId="21559" xr:uid="{00000000-0005-0000-0000-000037540000}"/>
    <cellStyle name="Normal 250 3 4 3" xfId="21560" xr:uid="{00000000-0005-0000-0000-000038540000}"/>
    <cellStyle name="Normal 250 3 5" xfId="21561" xr:uid="{00000000-0005-0000-0000-000039540000}"/>
    <cellStyle name="Normal 250 4" xfId="21562" xr:uid="{00000000-0005-0000-0000-00003A540000}"/>
    <cellStyle name="Normal 250 4 2" xfId="21563" xr:uid="{00000000-0005-0000-0000-00003B540000}"/>
    <cellStyle name="Normal 250 4 2 2" xfId="21564" xr:uid="{00000000-0005-0000-0000-00003C540000}"/>
    <cellStyle name="Normal 250 4 2 2 2" xfId="21565" xr:uid="{00000000-0005-0000-0000-00003D540000}"/>
    <cellStyle name="Normal 250 4 2 3" xfId="21566" xr:uid="{00000000-0005-0000-0000-00003E540000}"/>
    <cellStyle name="Normal 250 4 2 3 2" xfId="21567" xr:uid="{00000000-0005-0000-0000-00003F540000}"/>
    <cellStyle name="Normal 250 4 2 3 2 2" xfId="21568" xr:uid="{00000000-0005-0000-0000-000040540000}"/>
    <cellStyle name="Normal 250 4 2 3 3" xfId="21569" xr:uid="{00000000-0005-0000-0000-000041540000}"/>
    <cellStyle name="Normal 250 4 2 4" xfId="21570" xr:uid="{00000000-0005-0000-0000-000042540000}"/>
    <cellStyle name="Normal 250 4 3" xfId="21571" xr:uid="{00000000-0005-0000-0000-000043540000}"/>
    <cellStyle name="Normal 250 4 3 2" xfId="21572" xr:uid="{00000000-0005-0000-0000-000044540000}"/>
    <cellStyle name="Normal 250 4 3 2 2" xfId="21573" xr:uid="{00000000-0005-0000-0000-000045540000}"/>
    <cellStyle name="Normal 250 4 3 3" xfId="21574" xr:uid="{00000000-0005-0000-0000-000046540000}"/>
    <cellStyle name="Normal 250 4 4" xfId="21575" xr:uid="{00000000-0005-0000-0000-000047540000}"/>
    <cellStyle name="Normal 250 4 4 2" xfId="21576" xr:uid="{00000000-0005-0000-0000-000048540000}"/>
    <cellStyle name="Normal 250 4 4 2 2" xfId="21577" xr:uid="{00000000-0005-0000-0000-000049540000}"/>
    <cellStyle name="Normal 250 4 4 3" xfId="21578" xr:uid="{00000000-0005-0000-0000-00004A540000}"/>
    <cellStyle name="Normal 250 4 5" xfId="21579" xr:uid="{00000000-0005-0000-0000-00004B540000}"/>
    <cellStyle name="Normal 250 4 5 2" xfId="21580" xr:uid="{00000000-0005-0000-0000-00004C540000}"/>
    <cellStyle name="Normal 250 4 5 2 2" xfId="21581" xr:uid="{00000000-0005-0000-0000-00004D540000}"/>
    <cellStyle name="Normal 250 4 5 3" xfId="21582" xr:uid="{00000000-0005-0000-0000-00004E540000}"/>
    <cellStyle name="Normal 250 4 6" xfId="21583" xr:uid="{00000000-0005-0000-0000-00004F540000}"/>
    <cellStyle name="Normal 250 5" xfId="21584" xr:uid="{00000000-0005-0000-0000-000050540000}"/>
    <cellStyle name="Normal 250 5 2" xfId="21585" xr:uid="{00000000-0005-0000-0000-000051540000}"/>
    <cellStyle name="Normal 250 5 2 2" xfId="21586" xr:uid="{00000000-0005-0000-0000-000052540000}"/>
    <cellStyle name="Normal 250 5 3" xfId="21587" xr:uid="{00000000-0005-0000-0000-000053540000}"/>
    <cellStyle name="Normal 250 6" xfId="21588" xr:uid="{00000000-0005-0000-0000-000054540000}"/>
    <cellStyle name="Normal 250 6 2" xfId="21589" xr:uid="{00000000-0005-0000-0000-000055540000}"/>
    <cellStyle name="Normal 250 6 2 2" xfId="21590" xr:uid="{00000000-0005-0000-0000-000056540000}"/>
    <cellStyle name="Normal 250 6 3" xfId="21591" xr:uid="{00000000-0005-0000-0000-000057540000}"/>
    <cellStyle name="Normal 250 7" xfId="21592" xr:uid="{00000000-0005-0000-0000-000058540000}"/>
    <cellStyle name="Normal 250 7 2" xfId="21593" xr:uid="{00000000-0005-0000-0000-000059540000}"/>
    <cellStyle name="Normal 250 7 2 2" xfId="21594" xr:uid="{00000000-0005-0000-0000-00005A540000}"/>
    <cellStyle name="Normal 250 7 3" xfId="21595" xr:uid="{00000000-0005-0000-0000-00005B540000}"/>
    <cellStyle name="Normal 250 8" xfId="21596" xr:uid="{00000000-0005-0000-0000-00005C540000}"/>
    <cellStyle name="Normal 251" xfId="21597" xr:uid="{00000000-0005-0000-0000-00005D540000}"/>
    <cellStyle name="Normal 251 2" xfId="21598" xr:uid="{00000000-0005-0000-0000-00005E540000}"/>
    <cellStyle name="Normal 251 2 2" xfId="21599" xr:uid="{00000000-0005-0000-0000-00005F540000}"/>
    <cellStyle name="Normal 251 2 2 2" xfId="21600" xr:uid="{00000000-0005-0000-0000-000060540000}"/>
    <cellStyle name="Normal 251 2 2 2 2" xfId="21601" xr:uid="{00000000-0005-0000-0000-000061540000}"/>
    <cellStyle name="Normal 251 2 2 3" xfId="21602" xr:uid="{00000000-0005-0000-0000-000062540000}"/>
    <cellStyle name="Normal 251 2 2 3 2" xfId="21603" xr:uid="{00000000-0005-0000-0000-000063540000}"/>
    <cellStyle name="Normal 251 2 2 3 2 2" xfId="21604" xr:uid="{00000000-0005-0000-0000-000064540000}"/>
    <cellStyle name="Normal 251 2 2 3 3" xfId="21605" xr:uid="{00000000-0005-0000-0000-000065540000}"/>
    <cellStyle name="Normal 251 2 2 4" xfId="21606" xr:uid="{00000000-0005-0000-0000-000066540000}"/>
    <cellStyle name="Normal 251 2 2 4 2" xfId="21607" xr:uid="{00000000-0005-0000-0000-000067540000}"/>
    <cellStyle name="Normal 251 2 2 4 2 2" xfId="21608" xr:uid="{00000000-0005-0000-0000-000068540000}"/>
    <cellStyle name="Normal 251 2 2 4 3" xfId="21609" xr:uid="{00000000-0005-0000-0000-000069540000}"/>
    <cellStyle name="Normal 251 2 2 5" xfId="21610" xr:uid="{00000000-0005-0000-0000-00006A540000}"/>
    <cellStyle name="Normal 251 2 3" xfId="21611" xr:uid="{00000000-0005-0000-0000-00006B540000}"/>
    <cellStyle name="Normal 251 2 3 2" xfId="21612" xr:uid="{00000000-0005-0000-0000-00006C540000}"/>
    <cellStyle name="Normal 251 2 3 2 2" xfId="21613" xr:uid="{00000000-0005-0000-0000-00006D540000}"/>
    <cellStyle name="Normal 251 2 3 2 2 2" xfId="21614" xr:uid="{00000000-0005-0000-0000-00006E540000}"/>
    <cellStyle name="Normal 251 2 3 2 3" xfId="21615" xr:uid="{00000000-0005-0000-0000-00006F540000}"/>
    <cellStyle name="Normal 251 2 3 2 3 2" xfId="21616" xr:uid="{00000000-0005-0000-0000-000070540000}"/>
    <cellStyle name="Normal 251 2 3 2 3 2 2" xfId="21617" xr:uid="{00000000-0005-0000-0000-000071540000}"/>
    <cellStyle name="Normal 251 2 3 2 3 3" xfId="21618" xr:uid="{00000000-0005-0000-0000-000072540000}"/>
    <cellStyle name="Normal 251 2 3 2 4" xfId="21619" xr:uid="{00000000-0005-0000-0000-000073540000}"/>
    <cellStyle name="Normal 251 2 3 3" xfId="21620" xr:uid="{00000000-0005-0000-0000-000074540000}"/>
    <cellStyle name="Normal 251 2 3 3 2" xfId="21621" xr:uid="{00000000-0005-0000-0000-000075540000}"/>
    <cellStyle name="Normal 251 2 3 3 2 2" xfId="21622" xr:uid="{00000000-0005-0000-0000-000076540000}"/>
    <cellStyle name="Normal 251 2 3 3 3" xfId="21623" xr:uid="{00000000-0005-0000-0000-000077540000}"/>
    <cellStyle name="Normal 251 2 3 4" xfId="21624" xr:uid="{00000000-0005-0000-0000-000078540000}"/>
    <cellStyle name="Normal 251 2 3 4 2" xfId="21625" xr:uid="{00000000-0005-0000-0000-000079540000}"/>
    <cellStyle name="Normal 251 2 3 4 2 2" xfId="21626" xr:uid="{00000000-0005-0000-0000-00007A540000}"/>
    <cellStyle name="Normal 251 2 3 4 3" xfId="21627" xr:uid="{00000000-0005-0000-0000-00007B540000}"/>
    <cellStyle name="Normal 251 2 3 5" xfId="21628" xr:uid="{00000000-0005-0000-0000-00007C540000}"/>
    <cellStyle name="Normal 251 2 3 5 2" xfId="21629" xr:uid="{00000000-0005-0000-0000-00007D540000}"/>
    <cellStyle name="Normal 251 2 3 5 2 2" xfId="21630" xr:uid="{00000000-0005-0000-0000-00007E540000}"/>
    <cellStyle name="Normal 251 2 3 5 3" xfId="21631" xr:uid="{00000000-0005-0000-0000-00007F540000}"/>
    <cellStyle name="Normal 251 2 3 6" xfId="21632" xr:uid="{00000000-0005-0000-0000-000080540000}"/>
    <cellStyle name="Normal 251 2 4" xfId="21633" xr:uid="{00000000-0005-0000-0000-000081540000}"/>
    <cellStyle name="Normal 251 2 4 2" xfId="21634" xr:uid="{00000000-0005-0000-0000-000082540000}"/>
    <cellStyle name="Normal 251 2 4 2 2" xfId="21635" xr:uid="{00000000-0005-0000-0000-000083540000}"/>
    <cellStyle name="Normal 251 2 4 3" xfId="21636" xr:uid="{00000000-0005-0000-0000-000084540000}"/>
    <cellStyle name="Normal 251 2 5" xfId="21637" xr:uid="{00000000-0005-0000-0000-000085540000}"/>
    <cellStyle name="Normal 251 2 5 2" xfId="21638" xr:uid="{00000000-0005-0000-0000-000086540000}"/>
    <cellStyle name="Normal 251 2 5 2 2" xfId="21639" xr:uid="{00000000-0005-0000-0000-000087540000}"/>
    <cellStyle name="Normal 251 2 5 3" xfId="21640" xr:uid="{00000000-0005-0000-0000-000088540000}"/>
    <cellStyle name="Normal 251 2 6" xfId="21641" xr:uid="{00000000-0005-0000-0000-000089540000}"/>
    <cellStyle name="Normal 251 2 6 2" xfId="21642" xr:uid="{00000000-0005-0000-0000-00008A540000}"/>
    <cellStyle name="Normal 251 2 6 2 2" xfId="21643" xr:uid="{00000000-0005-0000-0000-00008B540000}"/>
    <cellStyle name="Normal 251 2 6 3" xfId="21644" xr:uid="{00000000-0005-0000-0000-00008C540000}"/>
    <cellStyle name="Normal 251 2 7" xfId="21645" xr:uid="{00000000-0005-0000-0000-00008D540000}"/>
    <cellStyle name="Normal 251 3" xfId="21646" xr:uid="{00000000-0005-0000-0000-00008E540000}"/>
    <cellStyle name="Normal 251 3 2" xfId="21647" xr:uid="{00000000-0005-0000-0000-00008F540000}"/>
    <cellStyle name="Normal 251 3 2 2" xfId="21648" xr:uid="{00000000-0005-0000-0000-000090540000}"/>
    <cellStyle name="Normal 251 3 3" xfId="21649" xr:uid="{00000000-0005-0000-0000-000091540000}"/>
    <cellStyle name="Normal 251 3 3 2" xfId="21650" xr:uid="{00000000-0005-0000-0000-000092540000}"/>
    <cellStyle name="Normal 251 3 3 2 2" xfId="21651" xr:uid="{00000000-0005-0000-0000-000093540000}"/>
    <cellStyle name="Normal 251 3 3 3" xfId="21652" xr:uid="{00000000-0005-0000-0000-000094540000}"/>
    <cellStyle name="Normal 251 3 4" xfId="21653" xr:uid="{00000000-0005-0000-0000-000095540000}"/>
    <cellStyle name="Normal 251 3 4 2" xfId="21654" xr:uid="{00000000-0005-0000-0000-000096540000}"/>
    <cellStyle name="Normal 251 3 4 2 2" xfId="21655" xr:uid="{00000000-0005-0000-0000-000097540000}"/>
    <cellStyle name="Normal 251 3 4 3" xfId="21656" xr:uid="{00000000-0005-0000-0000-000098540000}"/>
    <cellStyle name="Normal 251 3 5" xfId="21657" xr:uid="{00000000-0005-0000-0000-000099540000}"/>
    <cellStyle name="Normal 251 4" xfId="21658" xr:uid="{00000000-0005-0000-0000-00009A540000}"/>
    <cellStyle name="Normal 251 4 2" xfId="21659" xr:uid="{00000000-0005-0000-0000-00009B540000}"/>
    <cellStyle name="Normal 251 4 2 2" xfId="21660" xr:uid="{00000000-0005-0000-0000-00009C540000}"/>
    <cellStyle name="Normal 251 4 2 2 2" xfId="21661" xr:uid="{00000000-0005-0000-0000-00009D540000}"/>
    <cellStyle name="Normal 251 4 2 3" xfId="21662" xr:uid="{00000000-0005-0000-0000-00009E540000}"/>
    <cellStyle name="Normal 251 4 2 3 2" xfId="21663" xr:uid="{00000000-0005-0000-0000-00009F540000}"/>
    <cellStyle name="Normal 251 4 2 3 2 2" xfId="21664" xr:uid="{00000000-0005-0000-0000-0000A0540000}"/>
    <cellStyle name="Normal 251 4 2 3 3" xfId="21665" xr:uid="{00000000-0005-0000-0000-0000A1540000}"/>
    <cellStyle name="Normal 251 4 2 4" xfId="21666" xr:uid="{00000000-0005-0000-0000-0000A2540000}"/>
    <cellStyle name="Normal 251 4 3" xfId="21667" xr:uid="{00000000-0005-0000-0000-0000A3540000}"/>
    <cellStyle name="Normal 251 4 3 2" xfId="21668" xr:uid="{00000000-0005-0000-0000-0000A4540000}"/>
    <cellStyle name="Normal 251 4 3 2 2" xfId="21669" xr:uid="{00000000-0005-0000-0000-0000A5540000}"/>
    <cellStyle name="Normal 251 4 3 3" xfId="21670" xr:uid="{00000000-0005-0000-0000-0000A6540000}"/>
    <cellStyle name="Normal 251 4 4" xfId="21671" xr:uid="{00000000-0005-0000-0000-0000A7540000}"/>
    <cellStyle name="Normal 251 4 4 2" xfId="21672" xr:uid="{00000000-0005-0000-0000-0000A8540000}"/>
    <cellStyle name="Normal 251 4 4 2 2" xfId="21673" xr:uid="{00000000-0005-0000-0000-0000A9540000}"/>
    <cellStyle name="Normal 251 4 4 3" xfId="21674" xr:uid="{00000000-0005-0000-0000-0000AA540000}"/>
    <cellStyle name="Normal 251 4 5" xfId="21675" xr:uid="{00000000-0005-0000-0000-0000AB540000}"/>
    <cellStyle name="Normal 251 4 5 2" xfId="21676" xr:uid="{00000000-0005-0000-0000-0000AC540000}"/>
    <cellStyle name="Normal 251 4 5 2 2" xfId="21677" xr:uid="{00000000-0005-0000-0000-0000AD540000}"/>
    <cellStyle name="Normal 251 4 5 3" xfId="21678" xr:uid="{00000000-0005-0000-0000-0000AE540000}"/>
    <cellStyle name="Normal 251 4 6" xfId="21679" xr:uid="{00000000-0005-0000-0000-0000AF540000}"/>
    <cellStyle name="Normal 251 5" xfId="21680" xr:uid="{00000000-0005-0000-0000-0000B0540000}"/>
    <cellStyle name="Normal 251 5 2" xfId="21681" xr:uid="{00000000-0005-0000-0000-0000B1540000}"/>
    <cellStyle name="Normal 251 5 2 2" xfId="21682" xr:uid="{00000000-0005-0000-0000-0000B2540000}"/>
    <cellStyle name="Normal 251 5 3" xfId="21683" xr:uid="{00000000-0005-0000-0000-0000B3540000}"/>
    <cellStyle name="Normal 251 6" xfId="21684" xr:uid="{00000000-0005-0000-0000-0000B4540000}"/>
    <cellStyle name="Normal 251 6 2" xfId="21685" xr:uid="{00000000-0005-0000-0000-0000B5540000}"/>
    <cellStyle name="Normal 251 6 2 2" xfId="21686" xr:uid="{00000000-0005-0000-0000-0000B6540000}"/>
    <cellStyle name="Normal 251 6 3" xfId="21687" xr:uid="{00000000-0005-0000-0000-0000B7540000}"/>
    <cellStyle name="Normal 251 7" xfId="21688" xr:uid="{00000000-0005-0000-0000-0000B8540000}"/>
    <cellStyle name="Normal 251 7 2" xfId="21689" xr:uid="{00000000-0005-0000-0000-0000B9540000}"/>
    <cellStyle name="Normal 251 7 2 2" xfId="21690" xr:uid="{00000000-0005-0000-0000-0000BA540000}"/>
    <cellStyle name="Normal 251 7 3" xfId="21691" xr:uid="{00000000-0005-0000-0000-0000BB540000}"/>
    <cellStyle name="Normal 251 8" xfId="21692" xr:uid="{00000000-0005-0000-0000-0000BC540000}"/>
    <cellStyle name="Normal 252" xfId="21693" xr:uid="{00000000-0005-0000-0000-0000BD540000}"/>
    <cellStyle name="Normal 252 2" xfId="21694" xr:uid="{00000000-0005-0000-0000-0000BE540000}"/>
    <cellStyle name="Normal 252 2 2" xfId="21695" xr:uid="{00000000-0005-0000-0000-0000BF540000}"/>
    <cellStyle name="Normal 252 2 2 2" xfId="21696" xr:uid="{00000000-0005-0000-0000-0000C0540000}"/>
    <cellStyle name="Normal 252 2 2 2 2" xfId="21697" xr:uid="{00000000-0005-0000-0000-0000C1540000}"/>
    <cellStyle name="Normal 252 2 2 3" xfId="21698" xr:uid="{00000000-0005-0000-0000-0000C2540000}"/>
    <cellStyle name="Normal 252 2 2 3 2" xfId="21699" xr:uid="{00000000-0005-0000-0000-0000C3540000}"/>
    <cellStyle name="Normal 252 2 2 3 2 2" xfId="21700" xr:uid="{00000000-0005-0000-0000-0000C4540000}"/>
    <cellStyle name="Normal 252 2 2 3 3" xfId="21701" xr:uid="{00000000-0005-0000-0000-0000C5540000}"/>
    <cellStyle name="Normal 252 2 2 4" xfId="21702" xr:uid="{00000000-0005-0000-0000-0000C6540000}"/>
    <cellStyle name="Normal 252 2 2 4 2" xfId="21703" xr:uid="{00000000-0005-0000-0000-0000C7540000}"/>
    <cellStyle name="Normal 252 2 2 4 2 2" xfId="21704" xr:uid="{00000000-0005-0000-0000-0000C8540000}"/>
    <cellStyle name="Normal 252 2 2 4 3" xfId="21705" xr:uid="{00000000-0005-0000-0000-0000C9540000}"/>
    <cellStyle name="Normal 252 2 2 5" xfId="21706" xr:uid="{00000000-0005-0000-0000-0000CA540000}"/>
    <cellStyle name="Normal 252 2 3" xfId="21707" xr:uid="{00000000-0005-0000-0000-0000CB540000}"/>
    <cellStyle name="Normal 252 2 3 2" xfId="21708" xr:uid="{00000000-0005-0000-0000-0000CC540000}"/>
    <cellStyle name="Normal 252 2 3 2 2" xfId="21709" xr:uid="{00000000-0005-0000-0000-0000CD540000}"/>
    <cellStyle name="Normal 252 2 3 2 2 2" xfId="21710" xr:uid="{00000000-0005-0000-0000-0000CE540000}"/>
    <cellStyle name="Normal 252 2 3 2 3" xfId="21711" xr:uid="{00000000-0005-0000-0000-0000CF540000}"/>
    <cellStyle name="Normal 252 2 3 2 3 2" xfId="21712" xr:uid="{00000000-0005-0000-0000-0000D0540000}"/>
    <cellStyle name="Normal 252 2 3 2 3 2 2" xfId="21713" xr:uid="{00000000-0005-0000-0000-0000D1540000}"/>
    <cellStyle name="Normal 252 2 3 2 3 3" xfId="21714" xr:uid="{00000000-0005-0000-0000-0000D2540000}"/>
    <cellStyle name="Normal 252 2 3 2 4" xfId="21715" xr:uid="{00000000-0005-0000-0000-0000D3540000}"/>
    <cellStyle name="Normal 252 2 3 3" xfId="21716" xr:uid="{00000000-0005-0000-0000-0000D4540000}"/>
    <cellStyle name="Normal 252 2 3 3 2" xfId="21717" xr:uid="{00000000-0005-0000-0000-0000D5540000}"/>
    <cellStyle name="Normal 252 2 3 3 2 2" xfId="21718" xr:uid="{00000000-0005-0000-0000-0000D6540000}"/>
    <cellStyle name="Normal 252 2 3 3 3" xfId="21719" xr:uid="{00000000-0005-0000-0000-0000D7540000}"/>
    <cellStyle name="Normal 252 2 3 4" xfId="21720" xr:uid="{00000000-0005-0000-0000-0000D8540000}"/>
    <cellStyle name="Normal 252 2 3 4 2" xfId="21721" xr:uid="{00000000-0005-0000-0000-0000D9540000}"/>
    <cellStyle name="Normal 252 2 3 4 2 2" xfId="21722" xr:uid="{00000000-0005-0000-0000-0000DA540000}"/>
    <cellStyle name="Normal 252 2 3 4 3" xfId="21723" xr:uid="{00000000-0005-0000-0000-0000DB540000}"/>
    <cellStyle name="Normal 252 2 3 5" xfId="21724" xr:uid="{00000000-0005-0000-0000-0000DC540000}"/>
    <cellStyle name="Normal 252 2 3 5 2" xfId="21725" xr:uid="{00000000-0005-0000-0000-0000DD540000}"/>
    <cellStyle name="Normal 252 2 3 5 2 2" xfId="21726" xr:uid="{00000000-0005-0000-0000-0000DE540000}"/>
    <cellStyle name="Normal 252 2 3 5 3" xfId="21727" xr:uid="{00000000-0005-0000-0000-0000DF540000}"/>
    <cellStyle name="Normal 252 2 3 6" xfId="21728" xr:uid="{00000000-0005-0000-0000-0000E0540000}"/>
    <cellStyle name="Normal 252 2 4" xfId="21729" xr:uid="{00000000-0005-0000-0000-0000E1540000}"/>
    <cellStyle name="Normal 252 2 4 2" xfId="21730" xr:uid="{00000000-0005-0000-0000-0000E2540000}"/>
    <cellStyle name="Normal 252 2 4 2 2" xfId="21731" xr:uid="{00000000-0005-0000-0000-0000E3540000}"/>
    <cellStyle name="Normal 252 2 4 3" xfId="21732" xr:uid="{00000000-0005-0000-0000-0000E4540000}"/>
    <cellStyle name="Normal 252 2 5" xfId="21733" xr:uid="{00000000-0005-0000-0000-0000E5540000}"/>
    <cellStyle name="Normal 252 2 5 2" xfId="21734" xr:uid="{00000000-0005-0000-0000-0000E6540000}"/>
    <cellStyle name="Normal 252 2 5 2 2" xfId="21735" xr:uid="{00000000-0005-0000-0000-0000E7540000}"/>
    <cellStyle name="Normal 252 2 5 3" xfId="21736" xr:uid="{00000000-0005-0000-0000-0000E8540000}"/>
    <cellStyle name="Normal 252 2 6" xfId="21737" xr:uid="{00000000-0005-0000-0000-0000E9540000}"/>
    <cellStyle name="Normal 252 2 6 2" xfId="21738" xr:uid="{00000000-0005-0000-0000-0000EA540000}"/>
    <cellStyle name="Normal 252 2 6 2 2" xfId="21739" xr:uid="{00000000-0005-0000-0000-0000EB540000}"/>
    <cellStyle name="Normal 252 2 6 3" xfId="21740" xr:uid="{00000000-0005-0000-0000-0000EC540000}"/>
    <cellStyle name="Normal 252 2 7" xfId="21741" xr:uid="{00000000-0005-0000-0000-0000ED540000}"/>
    <cellStyle name="Normal 252 3" xfId="21742" xr:uid="{00000000-0005-0000-0000-0000EE540000}"/>
    <cellStyle name="Normal 252 3 2" xfId="21743" xr:uid="{00000000-0005-0000-0000-0000EF540000}"/>
    <cellStyle name="Normal 252 3 2 2" xfId="21744" xr:uid="{00000000-0005-0000-0000-0000F0540000}"/>
    <cellStyle name="Normal 252 3 3" xfId="21745" xr:uid="{00000000-0005-0000-0000-0000F1540000}"/>
    <cellStyle name="Normal 252 3 3 2" xfId="21746" xr:uid="{00000000-0005-0000-0000-0000F2540000}"/>
    <cellStyle name="Normal 252 3 3 2 2" xfId="21747" xr:uid="{00000000-0005-0000-0000-0000F3540000}"/>
    <cellStyle name="Normal 252 3 3 3" xfId="21748" xr:uid="{00000000-0005-0000-0000-0000F4540000}"/>
    <cellStyle name="Normal 252 3 4" xfId="21749" xr:uid="{00000000-0005-0000-0000-0000F5540000}"/>
    <cellStyle name="Normal 252 3 4 2" xfId="21750" xr:uid="{00000000-0005-0000-0000-0000F6540000}"/>
    <cellStyle name="Normal 252 3 4 2 2" xfId="21751" xr:uid="{00000000-0005-0000-0000-0000F7540000}"/>
    <cellStyle name="Normal 252 3 4 3" xfId="21752" xr:uid="{00000000-0005-0000-0000-0000F8540000}"/>
    <cellStyle name="Normal 252 3 5" xfId="21753" xr:uid="{00000000-0005-0000-0000-0000F9540000}"/>
    <cellStyle name="Normal 252 4" xfId="21754" xr:uid="{00000000-0005-0000-0000-0000FA540000}"/>
    <cellStyle name="Normal 252 4 2" xfId="21755" xr:uid="{00000000-0005-0000-0000-0000FB540000}"/>
    <cellStyle name="Normal 252 4 2 2" xfId="21756" xr:uid="{00000000-0005-0000-0000-0000FC540000}"/>
    <cellStyle name="Normal 252 4 2 2 2" xfId="21757" xr:uid="{00000000-0005-0000-0000-0000FD540000}"/>
    <cellStyle name="Normal 252 4 2 3" xfId="21758" xr:uid="{00000000-0005-0000-0000-0000FE540000}"/>
    <cellStyle name="Normal 252 4 2 3 2" xfId="21759" xr:uid="{00000000-0005-0000-0000-0000FF540000}"/>
    <cellStyle name="Normal 252 4 2 3 2 2" xfId="21760" xr:uid="{00000000-0005-0000-0000-000000550000}"/>
    <cellStyle name="Normal 252 4 2 3 3" xfId="21761" xr:uid="{00000000-0005-0000-0000-000001550000}"/>
    <cellStyle name="Normal 252 4 2 4" xfId="21762" xr:uid="{00000000-0005-0000-0000-000002550000}"/>
    <cellStyle name="Normal 252 4 3" xfId="21763" xr:uid="{00000000-0005-0000-0000-000003550000}"/>
    <cellStyle name="Normal 252 4 3 2" xfId="21764" xr:uid="{00000000-0005-0000-0000-000004550000}"/>
    <cellStyle name="Normal 252 4 3 2 2" xfId="21765" xr:uid="{00000000-0005-0000-0000-000005550000}"/>
    <cellStyle name="Normal 252 4 3 3" xfId="21766" xr:uid="{00000000-0005-0000-0000-000006550000}"/>
    <cellStyle name="Normal 252 4 4" xfId="21767" xr:uid="{00000000-0005-0000-0000-000007550000}"/>
    <cellStyle name="Normal 252 4 4 2" xfId="21768" xr:uid="{00000000-0005-0000-0000-000008550000}"/>
    <cellStyle name="Normal 252 4 4 2 2" xfId="21769" xr:uid="{00000000-0005-0000-0000-000009550000}"/>
    <cellStyle name="Normal 252 4 4 3" xfId="21770" xr:uid="{00000000-0005-0000-0000-00000A550000}"/>
    <cellStyle name="Normal 252 4 5" xfId="21771" xr:uid="{00000000-0005-0000-0000-00000B550000}"/>
    <cellStyle name="Normal 252 4 5 2" xfId="21772" xr:uid="{00000000-0005-0000-0000-00000C550000}"/>
    <cellStyle name="Normal 252 4 5 2 2" xfId="21773" xr:uid="{00000000-0005-0000-0000-00000D550000}"/>
    <cellStyle name="Normal 252 4 5 3" xfId="21774" xr:uid="{00000000-0005-0000-0000-00000E550000}"/>
    <cellStyle name="Normal 252 4 6" xfId="21775" xr:uid="{00000000-0005-0000-0000-00000F550000}"/>
    <cellStyle name="Normal 252 5" xfId="21776" xr:uid="{00000000-0005-0000-0000-000010550000}"/>
    <cellStyle name="Normal 252 5 2" xfId="21777" xr:uid="{00000000-0005-0000-0000-000011550000}"/>
    <cellStyle name="Normal 252 5 2 2" xfId="21778" xr:uid="{00000000-0005-0000-0000-000012550000}"/>
    <cellStyle name="Normal 252 5 3" xfId="21779" xr:uid="{00000000-0005-0000-0000-000013550000}"/>
    <cellStyle name="Normal 252 6" xfId="21780" xr:uid="{00000000-0005-0000-0000-000014550000}"/>
    <cellStyle name="Normal 252 6 2" xfId="21781" xr:uid="{00000000-0005-0000-0000-000015550000}"/>
    <cellStyle name="Normal 252 6 2 2" xfId="21782" xr:uid="{00000000-0005-0000-0000-000016550000}"/>
    <cellStyle name="Normal 252 6 3" xfId="21783" xr:uid="{00000000-0005-0000-0000-000017550000}"/>
    <cellStyle name="Normal 252 7" xfId="21784" xr:uid="{00000000-0005-0000-0000-000018550000}"/>
    <cellStyle name="Normal 252 7 2" xfId="21785" xr:uid="{00000000-0005-0000-0000-000019550000}"/>
    <cellStyle name="Normal 252 7 2 2" xfId="21786" xr:uid="{00000000-0005-0000-0000-00001A550000}"/>
    <cellStyle name="Normal 252 7 3" xfId="21787" xr:uid="{00000000-0005-0000-0000-00001B550000}"/>
    <cellStyle name="Normal 252 8" xfId="21788" xr:uid="{00000000-0005-0000-0000-00001C550000}"/>
    <cellStyle name="Normal 253" xfId="21789" xr:uid="{00000000-0005-0000-0000-00001D550000}"/>
    <cellStyle name="Normal 253 2" xfId="21790" xr:uid="{00000000-0005-0000-0000-00001E550000}"/>
    <cellStyle name="Normal 253 2 2" xfId="21791" xr:uid="{00000000-0005-0000-0000-00001F550000}"/>
    <cellStyle name="Normal 253 2 2 2" xfId="21792" xr:uid="{00000000-0005-0000-0000-000020550000}"/>
    <cellStyle name="Normal 253 2 2 2 2" xfId="21793" xr:uid="{00000000-0005-0000-0000-000021550000}"/>
    <cellStyle name="Normal 253 2 2 3" xfId="21794" xr:uid="{00000000-0005-0000-0000-000022550000}"/>
    <cellStyle name="Normal 253 2 2 3 2" xfId="21795" xr:uid="{00000000-0005-0000-0000-000023550000}"/>
    <cellStyle name="Normal 253 2 2 3 2 2" xfId="21796" xr:uid="{00000000-0005-0000-0000-000024550000}"/>
    <cellStyle name="Normal 253 2 2 3 3" xfId="21797" xr:uid="{00000000-0005-0000-0000-000025550000}"/>
    <cellStyle name="Normal 253 2 2 4" xfId="21798" xr:uid="{00000000-0005-0000-0000-000026550000}"/>
    <cellStyle name="Normal 253 2 2 4 2" xfId="21799" xr:uid="{00000000-0005-0000-0000-000027550000}"/>
    <cellStyle name="Normal 253 2 2 4 2 2" xfId="21800" xr:uid="{00000000-0005-0000-0000-000028550000}"/>
    <cellStyle name="Normal 253 2 2 4 3" xfId="21801" xr:uid="{00000000-0005-0000-0000-000029550000}"/>
    <cellStyle name="Normal 253 2 2 5" xfId="21802" xr:uid="{00000000-0005-0000-0000-00002A550000}"/>
    <cellStyle name="Normal 253 2 3" xfId="21803" xr:uid="{00000000-0005-0000-0000-00002B550000}"/>
    <cellStyle name="Normal 253 2 3 2" xfId="21804" xr:uid="{00000000-0005-0000-0000-00002C550000}"/>
    <cellStyle name="Normal 253 2 3 2 2" xfId="21805" xr:uid="{00000000-0005-0000-0000-00002D550000}"/>
    <cellStyle name="Normal 253 2 3 2 2 2" xfId="21806" xr:uid="{00000000-0005-0000-0000-00002E550000}"/>
    <cellStyle name="Normal 253 2 3 2 3" xfId="21807" xr:uid="{00000000-0005-0000-0000-00002F550000}"/>
    <cellStyle name="Normal 253 2 3 2 3 2" xfId="21808" xr:uid="{00000000-0005-0000-0000-000030550000}"/>
    <cellStyle name="Normal 253 2 3 2 3 2 2" xfId="21809" xr:uid="{00000000-0005-0000-0000-000031550000}"/>
    <cellStyle name="Normal 253 2 3 2 3 3" xfId="21810" xr:uid="{00000000-0005-0000-0000-000032550000}"/>
    <cellStyle name="Normal 253 2 3 2 4" xfId="21811" xr:uid="{00000000-0005-0000-0000-000033550000}"/>
    <cellStyle name="Normal 253 2 3 3" xfId="21812" xr:uid="{00000000-0005-0000-0000-000034550000}"/>
    <cellStyle name="Normal 253 2 3 3 2" xfId="21813" xr:uid="{00000000-0005-0000-0000-000035550000}"/>
    <cellStyle name="Normal 253 2 3 3 2 2" xfId="21814" xr:uid="{00000000-0005-0000-0000-000036550000}"/>
    <cellStyle name="Normal 253 2 3 3 3" xfId="21815" xr:uid="{00000000-0005-0000-0000-000037550000}"/>
    <cellStyle name="Normal 253 2 3 4" xfId="21816" xr:uid="{00000000-0005-0000-0000-000038550000}"/>
    <cellStyle name="Normal 253 2 3 4 2" xfId="21817" xr:uid="{00000000-0005-0000-0000-000039550000}"/>
    <cellStyle name="Normal 253 2 3 4 2 2" xfId="21818" xr:uid="{00000000-0005-0000-0000-00003A550000}"/>
    <cellStyle name="Normal 253 2 3 4 3" xfId="21819" xr:uid="{00000000-0005-0000-0000-00003B550000}"/>
    <cellStyle name="Normal 253 2 3 5" xfId="21820" xr:uid="{00000000-0005-0000-0000-00003C550000}"/>
    <cellStyle name="Normal 253 2 3 5 2" xfId="21821" xr:uid="{00000000-0005-0000-0000-00003D550000}"/>
    <cellStyle name="Normal 253 2 3 5 2 2" xfId="21822" xr:uid="{00000000-0005-0000-0000-00003E550000}"/>
    <cellStyle name="Normal 253 2 3 5 3" xfId="21823" xr:uid="{00000000-0005-0000-0000-00003F550000}"/>
    <cellStyle name="Normal 253 2 3 6" xfId="21824" xr:uid="{00000000-0005-0000-0000-000040550000}"/>
    <cellStyle name="Normal 253 2 4" xfId="21825" xr:uid="{00000000-0005-0000-0000-000041550000}"/>
    <cellStyle name="Normal 253 2 4 2" xfId="21826" xr:uid="{00000000-0005-0000-0000-000042550000}"/>
    <cellStyle name="Normal 253 2 4 2 2" xfId="21827" xr:uid="{00000000-0005-0000-0000-000043550000}"/>
    <cellStyle name="Normal 253 2 4 3" xfId="21828" xr:uid="{00000000-0005-0000-0000-000044550000}"/>
    <cellStyle name="Normal 253 2 5" xfId="21829" xr:uid="{00000000-0005-0000-0000-000045550000}"/>
    <cellStyle name="Normal 253 2 5 2" xfId="21830" xr:uid="{00000000-0005-0000-0000-000046550000}"/>
    <cellStyle name="Normal 253 2 5 2 2" xfId="21831" xr:uid="{00000000-0005-0000-0000-000047550000}"/>
    <cellStyle name="Normal 253 2 5 3" xfId="21832" xr:uid="{00000000-0005-0000-0000-000048550000}"/>
    <cellStyle name="Normal 253 2 6" xfId="21833" xr:uid="{00000000-0005-0000-0000-000049550000}"/>
    <cellStyle name="Normal 253 2 6 2" xfId="21834" xr:uid="{00000000-0005-0000-0000-00004A550000}"/>
    <cellStyle name="Normal 253 2 6 2 2" xfId="21835" xr:uid="{00000000-0005-0000-0000-00004B550000}"/>
    <cellStyle name="Normal 253 2 6 3" xfId="21836" xr:uid="{00000000-0005-0000-0000-00004C550000}"/>
    <cellStyle name="Normal 253 2 7" xfId="21837" xr:uid="{00000000-0005-0000-0000-00004D550000}"/>
    <cellStyle name="Normal 253 3" xfId="21838" xr:uid="{00000000-0005-0000-0000-00004E550000}"/>
    <cellStyle name="Normal 253 3 2" xfId="21839" xr:uid="{00000000-0005-0000-0000-00004F550000}"/>
    <cellStyle name="Normal 253 3 2 2" xfId="21840" xr:uid="{00000000-0005-0000-0000-000050550000}"/>
    <cellStyle name="Normal 253 3 3" xfId="21841" xr:uid="{00000000-0005-0000-0000-000051550000}"/>
    <cellStyle name="Normal 253 3 3 2" xfId="21842" xr:uid="{00000000-0005-0000-0000-000052550000}"/>
    <cellStyle name="Normal 253 3 3 2 2" xfId="21843" xr:uid="{00000000-0005-0000-0000-000053550000}"/>
    <cellStyle name="Normal 253 3 3 3" xfId="21844" xr:uid="{00000000-0005-0000-0000-000054550000}"/>
    <cellStyle name="Normal 253 3 4" xfId="21845" xr:uid="{00000000-0005-0000-0000-000055550000}"/>
    <cellStyle name="Normal 253 3 4 2" xfId="21846" xr:uid="{00000000-0005-0000-0000-000056550000}"/>
    <cellStyle name="Normal 253 3 4 2 2" xfId="21847" xr:uid="{00000000-0005-0000-0000-000057550000}"/>
    <cellStyle name="Normal 253 3 4 3" xfId="21848" xr:uid="{00000000-0005-0000-0000-000058550000}"/>
    <cellStyle name="Normal 253 3 5" xfId="21849" xr:uid="{00000000-0005-0000-0000-000059550000}"/>
    <cellStyle name="Normal 253 4" xfId="21850" xr:uid="{00000000-0005-0000-0000-00005A550000}"/>
    <cellStyle name="Normal 253 4 2" xfId="21851" xr:uid="{00000000-0005-0000-0000-00005B550000}"/>
    <cellStyle name="Normal 253 4 2 2" xfId="21852" xr:uid="{00000000-0005-0000-0000-00005C550000}"/>
    <cellStyle name="Normal 253 4 2 2 2" xfId="21853" xr:uid="{00000000-0005-0000-0000-00005D550000}"/>
    <cellStyle name="Normal 253 4 2 3" xfId="21854" xr:uid="{00000000-0005-0000-0000-00005E550000}"/>
    <cellStyle name="Normal 253 4 2 3 2" xfId="21855" xr:uid="{00000000-0005-0000-0000-00005F550000}"/>
    <cellStyle name="Normal 253 4 2 3 2 2" xfId="21856" xr:uid="{00000000-0005-0000-0000-000060550000}"/>
    <cellStyle name="Normal 253 4 2 3 3" xfId="21857" xr:uid="{00000000-0005-0000-0000-000061550000}"/>
    <cellStyle name="Normal 253 4 2 4" xfId="21858" xr:uid="{00000000-0005-0000-0000-000062550000}"/>
    <cellStyle name="Normal 253 4 3" xfId="21859" xr:uid="{00000000-0005-0000-0000-000063550000}"/>
    <cellStyle name="Normal 253 4 3 2" xfId="21860" xr:uid="{00000000-0005-0000-0000-000064550000}"/>
    <cellStyle name="Normal 253 4 3 2 2" xfId="21861" xr:uid="{00000000-0005-0000-0000-000065550000}"/>
    <cellStyle name="Normal 253 4 3 3" xfId="21862" xr:uid="{00000000-0005-0000-0000-000066550000}"/>
    <cellStyle name="Normal 253 4 4" xfId="21863" xr:uid="{00000000-0005-0000-0000-000067550000}"/>
    <cellStyle name="Normal 253 4 4 2" xfId="21864" xr:uid="{00000000-0005-0000-0000-000068550000}"/>
    <cellStyle name="Normal 253 4 4 2 2" xfId="21865" xr:uid="{00000000-0005-0000-0000-000069550000}"/>
    <cellStyle name="Normal 253 4 4 3" xfId="21866" xr:uid="{00000000-0005-0000-0000-00006A550000}"/>
    <cellStyle name="Normal 253 4 5" xfId="21867" xr:uid="{00000000-0005-0000-0000-00006B550000}"/>
    <cellStyle name="Normal 253 4 5 2" xfId="21868" xr:uid="{00000000-0005-0000-0000-00006C550000}"/>
    <cellStyle name="Normal 253 4 5 2 2" xfId="21869" xr:uid="{00000000-0005-0000-0000-00006D550000}"/>
    <cellStyle name="Normal 253 4 5 3" xfId="21870" xr:uid="{00000000-0005-0000-0000-00006E550000}"/>
    <cellStyle name="Normal 253 4 6" xfId="21871" xr:uid="{00000000-0005-0000-0000-00006F550000}"/>
    <cellStyle name="Normal 253 5" xfId="21872" xr:uid="{00000000-0005-0000-0000-000070550000}"/>
    <cellStyle name="Normal 253 5 2" xfId="21873" xr:uid="{00000000-0005-0000-0000-000071550000}"/>
    <cellStyle name="Normal 253 5 2 2" xfId="21874" xr:uid="{00000000-0005-0000-0000-000072550000}"/>
    <cellStyle name="Normal 253 5 3" xfId="21875" xr:uid="{00000000-0005-0000-0000-000073550000}"/>
    <cellStyle name="Normal 253 6" xfId="21876" xr:uid="{00000000-0005-0000-0000-000074550000}"/>
    <cellStyle name="Normal 253 6 2" xfId="21877" xr:uid="{00000000-0005-0000-0000-000075550000}"/>
    <cellStyle name="Normal 253 6 2 2" xfId="21878" xr:uid="{00000000-0005-0000-0000-000076550000}"/>
    <cellStyle name="Normal 253 6 3" xfId="21879" xr:uid="{00000000-0005-0000-0000-000077550000}"/>
    <cellStyle name="Normal 253 7" xfId="21880" xr:uid="{00000000-0005-0000-0000-000078550000}"/>
    <cellStyle name="Normal 253 7 2" xfId="21881" xr:uid="{00000000-0005-0000-0000-000079550000}"/>
    <cellStyle name="Normal 253 7 2 2" xfId="21882" xr:uid="{00000000-0005-0000-0000-00007A550000}"/>
    <cellStyle name="Normal 253 7 3" xfId="21883" xr:uid="{00000000-0005-0000-0000-00007B550000}"/>
    <cellStyle name="Normal 253 8" xfId="21884" xr:uid="{00000000-0005-0000-0000-00007C550000}"/>
    <cellStyle name="Normal 254" xfId="21885" xr:uid="{00000000-0005-0000-0000-00007D550000}"/>
    <cellStyle name="Normal 254 2" xfId="21886" xr:uid="{00000000-0005-0000-0000-00007E550000}"/>
    <cellStyle name="Normal 254 2 2" xfId="21887" xr:uid="{00000000-0005-0000-0000-00007F550000}"/>
    <cellStyle name="Normal 254 2 2 2" xfId="21888" xr:uid="{00000000-0005-0000-0000-000080550000}"/>
    <cellStyle name="Normal 254 2 2 2 2" xfId="21889" xr:uid="{00000000-0005-0000-0000-000081550000}"/>
    <cellStyle name="Normal 254 2 2 3" xfId="21890" xr:uid="{00000000-0005-0000-0000-000082550000}"/>
    <cellStyle name="Normal 254 2 2 3 2" xfId="21891" xr:uid="{00000000-0005-0000-0000-000083550000}"/>
    <cellStyle name="Normal 254 2 2 3 2 2" xfId="21892" xr:uid="{00000000-0005-0000-0000-000084550000}"/>
    <cellStyle name="Normal 254 2 2 3 3" xfId="21893" xr:uid="{00000000-0005-0000-0000-000085550000}"/>
    <cellStyle name="Normal 254 2 2 4" xfId="21894" xr:uid="{00000000-0005-0000-0000-000086550000}"/>
    <cellStyle name="Normal 254 2 2 4 2" xfId="21895" xr:uid="{00000000-0005-0000-0000-000087550000}"/>
    <cellStyle name="Normal 254 2 2 4 2 2" xfId="21896" xr:uid="{00000000-0005-0000-0000-000088550000}"/>
    <cellStyle name="Normal 254 2 2 4 3" xfId="21897" xr:uid="{00000000-0005-0000-0000-000089550000}"/>
    <cellStyle name="Normal 254 2 2 5" xfId="21898" xr:uid="{00000000-0005-0000-0000-00008A550000}"/>
    <cellStyle name="Normal 254 2 3" xfId="21899" xr:uid="{00000000-0005-0000-0000-00008B550000}"/>
    <cellStyle name="Normal 254 2 3 2" xfId="21900" xr:uid="{00000000-0005-0000-0000-00008C550000}"/>
    <cellStyle name="Normal 254 2 3 2 2" xfId="21901" xr:uid="{00000000-0005-0000-0000-00008D550000}"/>
    <cellStyle name="Normal 254 2 3 2 2 2" xfId="21902" xr:uid="{00000000-0005-0000-0000-00008E550000}"/>
    <cellStyle name="Normal 254 2 3 2 3" xfId="21903" xr:uid="{00000000-0005-0000-0000-00008F550000}"/>
    <cellStyle name="Normal 254 2 3 2 3 2" xfId="21904" xr:uid="{00000000-0005-0000-0000-000090550000}"/>
    <cellStyle name="Normal 254 2 3 2 3 2 2" xfId="21905" xr:uid="{00000000-0005-0000-0000-000091550000}"/>
    <cellStyle name="Normal 254 2 3 2 3 3" xfId="21906" xr:uid="{00000000-0005-0000-0000-000092550000}"/>
    <cellStyle name="Normal 254 2 3 2 4" xfId="21907" xr:uid="{00000000-0005-0000-0000-000093550000}"/>
    <cellStyle name="Normal 254 2 3 3" xfId="21908" xr:uid="{00000000-0005-0000-0000-000094550000}"/>
    <cellStyle name="Normal 254 2 3 3 2" xfId="21909" xr:uid="{00000000-0005-0000-0000-000095550000}"/>
    <cellStyle name="Normal 254 2 3 3 2 2" xfId="21910" xr:uid="{00000000-0005-0000-0000-000096550000}"/>
    <cellStyle name="Normal 254 2 3 3 3" xfId="21911" xr:uid="{00000000-0005-0000-0000-000097550000}"/>
    <cellStyle name="Normal 254 2 3 4" xfId="21912" xr:uid="{00000000-0005-0000-0000-000098550000}"/>
    <cellStyle name="Normal 254 2 3 4 2" xfId="21913" xr:uid="{00000000-0005-0000-0000-000099550000}"/>
    <cellStyle name="Normal 254 2 3 4 2 2" xfId="21914" xr:uid="{00000000-0005-0000-0000-00009A550000}"/>
    <cellStyle name="Normal 254 2 3 4 3" xfId="21915" xr:uid="{00000000-0005-0000-0000-00009B550000}"/>
    <cellStyle name="Normal 254 2 3 5" xfId="21916" xr:uid="{00000000-0005-0000-0000-00009C550000}"/>
    <cellStyle name="Normal 254 2 3 5 2" xfId="21917" xr:uid="{00000000-0005-0000-0000-00009D550000}"/>
    <cellStyle name="Normal 254 2 3 5 2 2" xfId="21918" xr:uid="{00000000-0005-0000-0000-00009E550000}"/>
    <cellStyle name="Normal 254 2 3 5 3" xfId="21919" xr:uid="{00000000-0005-0000-0000-00009F550000}"/>
    <cellStyle name="Normal 254 2 3 6" xfId="21920" xr:uid="{00000000-0005-0000-0000-0000A0550000}"/>
    <cellStyle name="Normal 254 2 4" xfId="21921" xr:uid="{00000000-0005-0000-0000-0000A1550000}"/>
    <cellStyle name="Normal 254 2 4 2" xfId="21922" xr:uid="{00000000-0005-0000-0000-0000A2550000}"/>
    <cellStyle name="Normal 254 2 4 2 2" xfId="21923" xr:uid="{00000000-0005-0000-0000-0000A3550000}"/>
    <cellStyle name="Normal 254 2 4 3" xfId="21924" xr:uid="{00000000-0005-0000-0000-0000A4550000}"/>
    <cellStyle name="Normal 254 2 5" xfId="21925" xr:uid="{00000000-0005-0000-0000-0000A5550000}"/>
    <cellStyle name="Normal 254 2 5 2" xfId="21926" xr:uid="{00000000-0005-0000-0000-0000A6550000}"/>
    <cellStyle name="Normal 254 2 5 2 2" xfId="21927" xr:uid="{00000000-0005-0000-0000-0000A7550000}"/>
    <cellStyle name="Normal 254 2 5 3" xfId="21928" xr:uid="{00000000-0005-0000-0000-0000A8550000}"/>
    <cellStyle name="Normal 254 2 6" xfId="21929" xr:uid="{00000000-0005-0000-0000-0000A9550000}"/>
    <cellStyle name="Normal 254 2 6 2" xfId="21930" xr:uid="{00000000-0005-0000-0000-0000AA550000}"/>
    <cellStyle name="Normal 254 2 6 2 2" xfId="21931" xr:uid="{00000000-0005-0000-0000-0000AB550000}"/>
    <cellStyle name="Normal 254 2 6 3" xfId="21932" xr:uid="{00000000-0005-0000-0000-0000AC550000}"/>
    <cellStyle name="Normal 254 2 7" xfId="21933" xr:uid="{00000000-0005-0000-0000-0000AD550000}"/>
    <cellStyle name="Normal 254 3" xfId="21934" xr:uid="{00000000-0005-0000-0000-0000AE550000}"/>
    <cellStyle name="Normal 254 3 2" xfId="21935" xr:uid="{00000000-0005-0000-0000-0000AF550000}"/>
    <cellStyle name="Normal 254 3 2 2" xfId="21936" xr:uid="{00000000-0005-0000-0000-0000B0550000}"/>
    <cellStyle name="Normal 254 3 3" xfId="21937" xr:uid="{00000000-0005-0000-0000-0000B1550000}"/>
    <cellStyle name="Normal 254 3 3 2" xfId="21938" xr:uid="{00000000-0005-0000-0000-0000B2550000}"/>
    <cellStyle name="Normal 254 3 3 2 2" xfId="21939" xr:uid="{00000000-0005-0000-0000-0000B3550000}"/>
    <cellStyle name="Normal 254 3 3 3" xfId="21940" xr:uid="{00000000-0005-0000-0000-0000B4550000}"/>
    <cellStyle name="Normal 254 3 4" xfId="21941" xr:uid="{00000000-0005-0000-0000-0000B5550000}"/>
    <cellStyle name="Normal 254 3 4 2" xfId="21942" xr:uid="{00000000-0005-0000-0000-0000B6550000}"/>
    <cellStyle name="Normal 254 3 4 2 2" xfId="21943" xr:uid="{00000000-0005-0000-0000-0000B7550000}"/>
    <cellStyle name="Normal 254 3 4 3" xfId="21944" xr:uid="{00000000-0005-0000-0000-0000B8550000}"/>
    <cellStyle name="Normal 254 3 5" xfId="21945" xr:uid="{00000000-0005-0000-0000-0000B9550000}"/>
    <cellStyle name="Normal 254 4" xfId="21946" xr:uid="{00000000-0005-0000-0000-0000BA550000}"/>
    <cellStyle name="Normal 254 4 2" xfId="21947" xr:uid="{00000000-0005-0000-0000-0000BB550000}"/>
    <cellStyle name="Normal 254 4 2 2" xfId="21948" xr:uid="{00000000-0005-0000-0000-0000BC550000}"/>
    <cellStyle name="Normal 254 4 2 2 2" xfId="21949" xr:uid="{00000000-0005-0000-0000-0000BD550000}"/>
    <cellStyle name="Normal 254 4 2 3" xfId="21950" xr:uid="{00000000-0005-0000-0000-0000BE550000}"/>
    <cellStyle name="Normal 254 4 2 3 2" xfId="21951" xr:uid="{00000000-0005-0000-0000-0000BF550000}"/>
    <cellStyle name="Normal 254 4 2 3 2 2" xfId="21952" xr:uid="{00000000-0005-0000-0000-0000C0550000}"/>
    <cellStyle name="Normal 254 4 2 3 3" xfId="21953" xr:uid="{00000000-0005-0000-0000-0000C1550000}"/>
    <cellStyle name="Normal 254 4 2 4" xfId="21954" xr:uid="{00000000-0005-0000-0000-0000C2550000}"/>
    <cellStyle name="Normal 254 4 3" xfId="21955" xr:uid="{00000000-0005-0000-0000-0000C3550000}"/>
    <cellStyle name="Normal 254 4 3 2" xfId="21956" xr:uid="{00000000-0005-0000-0000-0000C4550000}"/>
    <cellStyle name="Normal 254 4 3 2 2" xfId="21957" xr:uid="{00000000-0005-0000-0000-0000C5550000}"/>
    <cellStyle name="Normal 254 4 3 3" xfId="21958" xr:uid="{00000000-0005-0000-0000-0000C6550000}"/>
    <cellStyle name="Normal 254 4 4" xfId="21959" xr:uid="{00000000-0005-0000-0000-0000C7550000}"/>
    <cellStyle name="Normal 254 4 4 2" xfId="21960" xr:uid="{00000000-0005-0000-0000-0000C8550000}"/>
    <cellStyle name="Normal 254 4 4 2 2" xfId="21961" xr:uid="{00000000-0005-0000-0000-0000C9550000}"/>
    <cellStyle name="Normal 254 4 4 3" xfId="21962" xr:uid="{00000000-0005-0000-0000-0000CA550000}"/>
    <cellStyle name="Normal 254 4 5" xfId="21963" xr:uid="{00000000-0005-0000-0000-0000CB550000}"/>
    <cellStyle name="Normal 254 4 5 2" xfId="21964" xr:uid="{00000000-0005-0000-0000-0000CC550000}"/>
    <cellStyle name="Normal 254 4 5 2 2" xfId="21965" xr:uid="{00000000-0005-0000-0000-0000CD550000}"/>
    <cellStyle name="Normal 254 4 5 3" xfId="21966" xr:uid="{00000000-0005-0000-0000-0000CE550000}"/>
    <cellStyle name="Normal 254 4 6" xfId="21967" xr:uid="{00000000-0005-0000-0000-0000CF550000}"/>
    <cellStyle name="Normal 254 5" xfId="21968" xr:uid="{00000000-0005-0000-0000-0000D0550000}"/>
    <cellStyle name="Normal 254 5 2" xfId="21969" xr:uid="{00000000-0005-0000-0000-0000D1550000}"/>
    <cellStyle name="Normal 254 5 2 2" xfId="21970" xr:uid="{00000000-0005-0000-0000-0000D2550000}"/>
    <cellStyle name="Normal 254 5 3" xfId="21971" xr:uid="{00000000-0005-0000-0000-0000D3550000}"/>
    <cellStyle name="Normal 254 6" xfId="21972" xr:uid="{00000000-0005-0000-0000-0000D4550000}"/>
    <cellStyle name="Normal 254 6 2" xfId="21973" xr:uid="{00000000-0005-0000-0000-0000D5550000}"/>
    <cellStyle name="Normal 254 6 2 2" xfId="21974" xr:uid="{00000000-0005-0000-0000-0000D6550000}"/>
    <cellStyle name="Normal 254 6 3" xfId="21975" xr:uid="{00000000-0005-0000-0000-0000D7550000}"/>
    <cellStyle name="Normal 254 7" xfId="21976" xr:uid="{00000000-0005-0000-0000-0000D8550000}"/>
    <cellStyle name="Normal 254 7 2" xfId="21977" xr:uid="{00000000-0005-0000-0000-0000D9550000}"/>
    <cellStyle name="Normal 254 7 2 2" xfId="21978" xr:uid="{00000000-0005-0000-0000-0000DA550000}"/>
    <cellStyle name="Normal 254 7 3" xfId="21979" xr:uid="{00000000-0005-0000-0000-0000DB550000}"/>
    <cellStyle name="Normal 254 8" xfId="21980" xr:uid="{00000000-0005-0000-0000-0000DC550000}"/>
    <cellStyle name="Normal 255" xfId="21981" xr:uid="{00000000-0005-0000-0000-0000DD550000}"/>
    <cellStyle name="Normal 255 2" xfId="21982" xr:uid="{00000000-0005-0000-0000-0000DE550000}"/>
    <cellStyle name="Normal 255 2 2" xfId="21983" xr:uid="{00000000-0005-0000-0000-0000DF550000}"/>
    <cellStyle name="Normal 255 2 2 2" xfId="21984" xr:uid="{00000000-0005-0000-0000-0000E0550000}"/>
    <cellStyle name="Normal 255 2 2 2 2" xfId="21985" xr:uid="{00000000-0005-0000-0000-0000E1550000}"/>
    <cellStyle name="Normal 255 2 2 3" xfId="21986" xr:uid="{00000000-0005-0000-0000-0000E2550000}"/>
    <cellStyle name="Normal 255 2 2 3 2" xfId="21987" xr:uid="{00000000-0005-0000-0000-0000E3550000}"/>
    <cellStyle name="Normal 255 2 2 3 2 2" xfId="21988" xr:uid="{00000000-0005-0000-0000-0000E4550000}"/>
    <cellStyle name="Normal 255 2 2 3 3" xfId="21989" xr:uid="{00000000-0005-0000-0000-0000E5550000}"/>
    <cellStyle name="Normal 255 2 2 4" xfId="21990" xr:uid="{00000000-0005-0000-0000-0000E6550000}"/>
    <cellStyle name="Normal 255 2 2 4 2" xfId="21991" xr:uid="{00000000-0005-0000-0000-0000E7550000}"/>
    <cellStyle name="Normal 255 2 2 4 2 2" xfId="21992" xr:uid="{00000000-0005-0000-0000-0000E8550000}"/>
    <cellStyle name="Normal 255 2 2 4 3" xfId="21993" xr:uid="{00000000-0005-0000-0000-0000E9550000}"/>
    <cellStyle name="Normal 255 2 2 5" xfId="21994" xr:uid="{00000000-0005-0000-0000-0000EA550000}"/>
    <cellStyle name="Normal 255 2 3" xfId="21995" xr:uid="{00000000-0005-0000-0000-0000EB550000}"/>
    <cellStyle name="Normal 255 2 3 2" xfId="21996" xr:uid="{00000000-0005-0000-0000-0000EC550000}"/>
    <cellStyle name="Normal 255 2 3 2 2" xfId="21997" xr:uid="{00000000-0005-0000-0000-0000ED550000}"/>
    <cellStyle name="Normal 255 2 3 2 2 2" xfId="21998" xr:uid="{00000000-0005-0000-0000-0000EE550000}"/>
    <cellStyle name="Normal 255 2 3 2 3" xfId="21999" xr:uid="{00000000-0005-0000-0000-0000EF550000}"/>
    <cellStyle name="Normal 255 2 3 2 3 2" xfId="22000" xr:uid="{00000000-0005-0000-0000-0000F0550000}"/>
    <cellStyle name="Normal 255 2 3 2 3 2 2" xfId="22001" xr:uid="{00000000-0005-0000-0000-0000F1550000}"/>
    <cellStyle name="Normal 255 2 3 2 3 3" xfId="22002" xr:uid="{00000000-0005-0000-0000-0000F2550000}"/>
    <cellStyle name="Normal 255 2 3 2 4" xfId="22003" xr:uid="{00000000-0005-0000-0000-0000F3550000}"/>
    <cellStyle name="Normal 255 2 3 3" xfId="22004" xr:uid="{00000000-0005-0000-0000-0000F4550000}"/>
    <cellStyle name="Normal 255 2 3 3 2" xfId="22005" xr:uid="{00000000-0005-0000-0000-0000F5550000}"/>
    <cellStyle name="Normal 255 2 3 3 2 2" xfId="22006" xr:uid="{00000000-0005-0000-0000-0000F6550000}"/>
    <cellStyle name="Normal 255 2 3 3 3" xfId="22007" xr:uid="{00000000-0005-0000-0000-0000F7550000}"/>
    <cellStyle name="Normal 255 2 3 4" xfId="22008" xr:uid="{00000000-0005-0000-0000-0000F8550000}"/>
    <cellStyle name="Normal 255 2 3 4 2" xfId="22009" xr:uid="{00000000-0005-0000-0000-0000F9550000}"/>
    <cellStyle name="Normal 255 2 3 4 2 2" xfId="22010" xr:uid="{00000000-0005-0000-0000-0000FA550000}"/>
    <cellStyle name="Normal 255 2 3 4 3" xfId="22011" xr:uid="{00000000-0005-0000-0000-0000FB550000}"/>
    <cellStyle name="Normal 255 2 3 5" xfId="22012" xr:uid="{00000000-0005-0000-0000-0000FC550000}"/>
    <cellStyle name="Normal 255 2 3 5 2" xfId="22013" xr:uid="{00000000-0005-0000-0000-0000FD550000}"/>
    <cellStyle name="Normal 255 2 3 5 2 2" xfId="22014" xr:uid="{00000000-0005-0000-0000-0000FE550000}"/>
    <cellStyle name="Normal 255 2 3 5 3" xfId="22015" xr:uid="{00000000-0005-0000-0000-0000FF550000}"/>
    <cellStyle name="Normal 255 2 3 6" xfId="22016" xr:uid="{00000000-0005-0000-0000-000000560000}"/>
    <cellStyle name="Normal 255 2 4" xfId="22017" xr:uid="{00000000-0005-0000-0000-000001560000}"/>
    <cellStyle name="Normal 255 2 4 2" xfId="22018" xr:uid="{00000000-0005-0000-0000-000002560000}"/>
    <cellStyle name="Normal 255 2 4 2 2" xfId="22019" xr:uid="{00000000-0005-0000-0000-000003560000}"/>
    <cellStyle name="Normal 255 2 4 3" xfId="22020" xr:uid="{00000000-0005-0000-0000-000004560000}"/>
    <cellStyle name="Normal 255 2 5" xfId="22021" xr:uid="{00000000-0005-0000-0000-000005560000}"/>
    <cellStyle name="Normal 255 2 5 2" xfId="22022" xr:uid="{00000000-0005-0000-0000-000006560000}"/>
    <cellStyle name="Normal 255 2 5 2 2" xfId="22023" xr:uid="{00000000-0005-0000-0000-000007560000}"/>
    <cellStyle name="Normal 255 2 5 3" xfId="22024" xr:uid="{00000000-0005-0000-0000-000008560000}"/>
    <cellStyle name="Normal 255 2 6" xfId="22025" xr:uid="{00000000-0005-0000-0000-000009560000}"/>
    <cellStyle name="Normal 255 2 6 2" xfId="22026" xr:uid="{00000000-0005-0000-0000-00000A560000}"/>
    <cellStyle name="Normal 255 2 6 2 2" xfId="22027" xr:uid="{00000000-0005-0000-0000-00000B560000}"/>
    <cellStyle name="Normal 255 2 6 3" xfId="22028" xr:uid="{00000000-0005-0000-0000-00000C560000}"/>
    <cellStyle name="Normal 255 2 7" xfId="22029" xr:uid="{00000000-0005-0000-0000-00000D560000}"/>
    <cellStyle name="Normal 255 3" xfId="22030" xr:uid="{00000000-0005-0000-0000-00000E560000}"/>
    <cellStyle name="Normal 255 3 2" xfId="22031" xr:uid="{00000000-0005-0000-0000-00000F560000}"/>
    <cellStyle name="Normal 255 3 2 2" xfId="22032" xr:uid="{00000000-0005-0000-0000-000010560000}"/>
    <cellStyle name="Normal 255 3 3" xfId="22033" xr:uid="{00000000-0005-0000-0000-000011560000}"/>
    <cellStyle name="Normal 255 3 3 2" xfId="22034" xr:uid="{00000000-0005-0000-0000-000012560000}"/>
    <cellStyle name="Normal 255 3 3 2 2" xfId="22035" xr:uid="{00000000-0005-0000-0000-000013560000}"/>
    <cellStyle name="Normal 255 3 3 3" xfId="22036" xr:uid="{00000000-0005-0000-0000-000014560000}"/>
    <cellStyle name="Normal 255 3 4" xfId="22037" xr:uid="{00000000-0005-0000-0000-000015560000}"/>
    <cellStyle name="Normal 255 3 4 2" xfId="22038" xr:uid="{00000000-0005-0000-0000-000016560000}"/>
    <cellStyle name="Normal 255 3 4 2 2" xfId="22039" xr:uid="{00000000-0005-0000-0000-000017560000}"/>
    <cellStyle name="Normal 255 3 4 3" xfId="22040" xr:uid="{00000000-0005-0000-0000-000018560000}"/>
    <cellStyle name="Normal 255 3 5" xfId="22041" xr:uid="{00000000-0005-0000-0000-000019560000}"/>
    <cellStyle name="Normal 255 4" xfId="22042" xr:uid="{00000000-0005-0000-0000-00001A560000}"/>
    <cellStyle name="Normal 255 4 2" xfId="22043" xr:uid="{00000000-0005-0000-0000-00001B560000}"/>
    <cellStyle name="Normal 255 4 2 2" xfId="22044" xr:uid="{00000000-0005-0000-0000-00001C560000}"/>
    <cellStyle name="Normal 255 4 2 2 2" xfId="22045" xr:uid="{00000000-0005-0000-0000-00001D560000}"/>
    <cellStyle name="Normal 255 4 2 3" xfId="22046" xr:uid="{00000000-0005-0000-0000-00001E560000}"/>
    <cellStyle name="Normal 255 4 2 3 2" xfId="22047" xr:uid="{00000000-0005-0000-0000-00001F560000}"/>
    <cellStyle name="Normal 255 4 2 3 2 2" xfId="22048" xr:uid="{00000000-0005-0000-0000-000020560000}"/>
    <cellStyle name="Normal 255 4 2 3 3" xfId="22049" xr:uid="{00000000-0005-0000-0000-000021560000}"/>
    <cellStyle name="Normal 255 4 2 4" xfId="22050" xr:uid="{00000000-0005-0000-0000-000022560000}"/>
    <cellStyle name="Normal 255 4 3" xfId="22051" xr:uid="{00000000-0005-0000-0000-000023560000}"/>
    <cellStyle name="Normal 255 4 3 2" xfId="22052" xr:uid="{00000000-0005-0000-0000-000024560000}"/>
    <cellStyle name="Normal 255 4 3 2 2" xfId="22053" xr:uid="{00000000-0005-0000-0000-000025560000}"/>
    <cellStyle name="Normal 255 4 3 3" xfId="22054" xr:uid="{00000000-0005-0000-0000-000026560000}"/>
    <cellStyle name="Normal 255 4 4" xfId="22055" xr:uid="{00000000-0005-0000-0000-000027560000}"/>
    <cellStyle name="Normal 255 4 4 2" xfId="22056" xr:uid="{00000000-0005-0000-0000-000028560000}"/>
    <cellStyle name="Normal 255 4 4 2 2" xfId="22057" xr:uid="{00000000-0005-0000-0000-000029560000}"/>
    <cellStyle name="Normal 255 4 4 3" xfId="22058" xr:uid="{00000000-0005-0000-0000-00002A560000}"/>
    <cellStyle name="Normal 255 4 5" xfId="22059" xr:uid="{00000000-0005-0000-0000-00002B560000}"/>
    <cellStyle name="Normal 255 4 5 2" xfId="22060" xr:uid="{00000000-0005-0000-0000-00002C560000}"/>
    <cellStyle name="Normal 255 4 5 2 2" xfId="22061" xr:uid="{00000000-0005-0000-0000-00002D560000}"/>
    <cellStyle name="Normal 255 4 5 3" xfId="22062" xr:uid="{00000000-0005-0000-0000-00002E560000}"/>
    <cellStyle name="Normal 255 4 6" xfId="22063" xr:uid="{00000000-0005-0000-0000-00002F560000}"/>
    <cellStyle name="Normal 255 5" xfId="22064" xr:uid="{00000000-0005-0000-0000-000030560000}"/>
    <cellStyle name="Normal 255 5 2" xfId="22065" xr:uid="{00000000-0005-0000-0000-000031560000}"/>
    <cellStyle name="Normal 255 5 2 2" xfId="22066" xr:uid="{00000000-0005-0000-0000-000032560000}"/>
    <cellStyle name="Normal 255 5 3" xfId="22067" xr:uid="{00000000-0005-0000-0000-000033560000}"/>
    <cellStyle name="Normal 255 6" xfId="22068" xr:uid="{00000000-0005-0000-0000-000034560000}"/>
    <cellStyle name="Normal 255 6 2" xfId="22069" xr:uid="{00000000-0005-0000-0000-000035560000}"/>
    <cellStyle name="Normal 255 6 2 2" xfId="22070" xr:uid="{00000000-0005-0000-0000-000036560000}"/>
    <cellStyle name="Normal 255 6 3" xfId="22071" xr:uid="{00000000-0005-0000-0000-000037560000}"/>
    <cellStyle name="Normal 255 7" xfId="22072" xr:uid="{00000000-0005-0000-0000-000038560000}"/>
    <cellStyle name="Normal 255 7 2" xfId="22073" xr:uid="{00000000-0005-0000-0000-000039560000}"/>
    <cellStyle name="Normal 255 7 2 2" xfId="22074" xr:uid="{00000000-0005-0000-0000-00003A560000}"/>
    <cellStyle name="Normal 255 7 3" xfId="22075" xr:uid="{00000000-0005-0000-0000-00003B560000}"/>
    <cellStyle name="Normal 255 8" xfId="22076" xr:uid="{00000000-0005-0000-0000-00003C560000}"/>
    <cellStyle name="Normal 256" xfId="22077" xr:uid="{00000000-0005-0000-0000-00003D560000}"/>
    <cellStyle name="Normal 256 2" xfId="22078" xr:uid="{00000000-0005-0000-0000-00003E560000}"/>
    <cellStyle name="Normal 256 2 2" xfId="22079" xr:uid="{00000000-0005-0000-0000-00003F560000}"/>
    <cellStyle name="Normal 256 2 2 2" xfId="22080" xr:uid="{00000000-0005-0000-0000-000040560000}"/>
    <cellStyle name="Normal 256 2 2 2 2" xfId="22081" xr:uid="{00000000-0005-0000-0000-000041560000}"/>
    <cellStyle name="Normal 256 2 2 3" xfId="22082" xr:uid="{00000000-0005-0000-0000-000042560000}"/>
    <cellStyle name="Normal 256 2 2 3 2" xfId="22083" xr:uid="{00000000-0005-0000-0000-000043560000}"/>
    <cellStyle name="Normal 256 2 2 3 2 2" xfId="22084" xr:uid="{00000000-0005-0000-0000-000044560000}"/>
    <cellStyle name="Normal 256 2 2 3 3" xfId="22085" xr:uid="{00000000-0005-0000-0000-000045560000}"/>
    <cellStyle name="Normal 256 2 2 4" xfId="22086" xr:uid="{00000000-0005-0000-0000-000046560000}"/>
    <cellStyle name="Normal 256 2 2 4 2" xfId="22087" xr:uid="{00000000-0005-0000-0000-000047560000}"/>
    <cellStyle name="Normal 256 2 2 4 2 2" xfId="22088" xr:uid="{00000000-0005-0000-0000-000048560000}"/>
    <cellStyle name="Normal 256 2 2 4 3" xfId="22089" xr:uid="{00000000-0005-0000-0000-000049560000}"/>
    <cellStyle name="Normal 256 2 2 5" xfId="22090" xr:uid="{00000000-0005-0000-0000-00004A560000}"/>
    <cellStyle name="Normal 256 2 3" xfId="22091" xr:uid="{00000000-0005-0000-0000-00004B560000}"/>
    <cellStyle name="Normal 256 2 3 2" xfId="22092" xr:uid="{00000000-0005-0000-0000-00004C560000}"/>
    <cellStyle name="Normal 256 2 3 2 2" xfId="22093" xr:uid="{00000000-0005-0000-0000-00004D560000}"/>
    <cellStyle name="Normal 256 2 3 2 2 2" xfId="22094" xr:uid="{00000000-0005-0000-0000-00004E560000}"/>
    <cellStyle name="Normal 256 2 3 2 3" xfId="22095" xr:uid="{00000000-0005-0000-0000-00004F560000}"/>
    <cellStyle name="Normal 256 2 3 2 3 2" xfId="22096" xr:uid="{00000000-0005-0000-0000-000050560000}"/>
    <cellStyle name="Normal 256 2 3 2 3 2 2" xfId="22097" xr:uid="{00000000-0005-0000-0000-000051560000}"/>
    <cellStyle name="Normal 256 2 3 2 3 3" xfId="22098" xr:uid="{00000000-0005-0000-0000-000052560000}"/>
    <cellStyle name="Normal 256 2 3 2 4" xfId="22099" xr:uid="{00000000-0005-0000-0000-000053560000}"/>
    <cellStyle name="Normal 256 2 3 3" xfId="22100" xr:uid="{00000000-0005-0000-0000-000054560000}"/>
    <cellStyle name="Normal 256 2 3 3 2" xfId="22101" xr:uid="{00000000-0005-0000-0000-000055560000}"/>
    <cellStyle name="Normal 256 2 3 3 2 2" xfId="22102" xr:uid="{00000000-0005-0000-0000-000056560000}"/>
    <cellStyle name="Normal 256 2 3 3 3" xfId="22103" xr:uid="{00000000-0005-0000-0000-000057560000}"/>
    <cellStyle name="Normal 256 2 3 4" xfId="22104" xr:uid="{00000000-0005-0000-0000-000058560000}"/>
    <cellStyle name="Normal 256 2 3 4 2" xfId="22105" xr:uid="{00000000-0005-0000-0000-000059560000}"/>
    <cellStyle name="Normal 256 2 3 4 2 2" xfId="22106" xr:uid="{00000000-0005-0000-0000-00005A560000}"/>
    <cellStyle name="Normal 256 2 3 4 3" xfId="22107" xr:uid="{00000000-0005-0000-0000-00005B560000}"/>
    <cellStyle name="Normal 256 2 3 5" xfId="22108" xr:uid="{00000000-0005-0000-0000-00005C560000}"/>
    <cellStyle name="Normal 256 2 3 5 2" xfId="22109" xr:uid="{00000000-0005-0000-0000-00005D560000}"/>
    <cellStyle name="Normal 256 2 3 5 2 2" xfId="22110" xr:uid="{00000000-0005-0000-0000-00005E560000}"/>
    <cellStyle name="Normal 256 2 3 5 3" xfId="22111" xr:uid="{00000000-0005-0000-0000-00005F560000}"/>
    <cellStyle name="Normal 256 2 3 6" xfId="22112" xr:uid="{00000000-0005-0000-0000-000060560000}"/>
    <cellStyle name="Normal 256 2 4" xfId="22113" xr:uid="{00000000-0005-0000-0000-000061560000}"/>
    <cellStyle name="Normal 256 2 4 2" xfId="22114" xr:uid="{00000000-0005-0000-0000-000062560000}"/>
    <cellStyle name="Normal 256 2 4 2 2" xfId="22115" xr:uid="{00000000-0005-0000-0000-000063560000}"/>
    <cellStyle name="Normal 256 2 4 3" xfId="22116" xr:uid="{00000000-0005-0000-0000-000064560000}"/>
    <cellStyle name="Normal 256 2 5" xfId="22117" xr:uid="{00000000-0005-0000-0000-000065560000}"/>
    <cellStyle name="Normal 256 2 5 2" xfId="22118" xr:uid="{00000000-0005-0000-0000-000066560000}"/>
    <cellStyle name="Normal 256 2 5 2 2" xfId="22119" xr:uid="{00000000-0005-0000-0000-000067560000}"/>
    <cellStyle name="Normal 256 2 5 3" xfId="22120" xr:uid="{00000000-0005-0000-0000-000068560000}"/>
    <cellStyle name="Normal 256 2 6" xfId="22121" xr:uid="{00000000-0005-0000-0000-000069560000}"/>
    <cellStyle name="Normal 256 2 6 2" xfId="22122" xr:uid="{00000000-0005-0000-0000-00006A560000}"/>
    <cellStyle name="Normal 256 2 6 2 2" xfId="22123" xr:uid="{00000000-0005-0000-0000-00006B560000}"/>
    <cellStyle name="Normal 256 2 6 3" xfId="22124" xr:uid="{00000000-0005-0000-0000-00006C560000}"/>
    <cellStyle name="Normal 256 2 7" xfId="22125" xr:uid="{00000000-0005-0000-0000-00006D560000}"/>
    <cellStyle name="Normal 256 3" xfId="22126" xr:uid="{00000000-0005-0000-0000-00006E560000}"/>
    <cellStyle name="Normal 256 3 2" xfId="22127" xr:uid="{00000000-0005-0000-0000-00006F560000}"/>
    <cellStyle name="Normal 256 3 2 2" xfId="22128" xr:uid="{00000000-0005-0000-0000-000070560000}"/>
    <cellStyle name="Normal 256 3 3" xfId="22129" xr:uid="{00000000-0005-0000-0000-000071560000}"/>
    <cellStyle name="Normal 256 3 3 2" xfId="22130" xr:uid="{00000000-0005-0000-0000-000072560000}"/>
    <cellStyle name="Normal 256 3 3 2 2" xfId="22131" xr:uid="{00000000-0005-0000-0000-000073560000}"/>
    <cellStyle name="Normal 256 3 3 3" xfId="22132" xr:uid="{00000000-0005-0000-0000-000074560000}"/>
    <cellStyle name="Normal 256 3 4" xfId="22133" xr:uid="{00000000-0005-0000-0000-000075560000}"/>
    <cellStyle name="Normal 256 3 4 2" xfId="22134" xr:uid="{00000000-0005-0000-0000-000076560000}"/>
    <cellStyle name="Normal 256 3 4 2 2" xfId="22135" xr:uid="{00000000-0005-0000-0000-000077560000}"/>
    <cellStyle name="Normal 256 3 4 3" xfId="22136" xr:uid="{00000000-0005-0000-0000-000078560000}"/>
    <cellStyle name="Normal 256 3 5" xfId="22137" xr:uid="{00000000-0005-0000-0000-000079560000}"/>
    <cellStyle name="Normal 256 4" xfId="22138" xr:uid="{00000000-0005-0000-0000-00007A560000}"/>
    <cellStyle name="Normal 256 4 2" xfId="22139" xr:uid="{00000000-0005-0000-0000-00007B560000}"/>
    <cellStyle name="Normal 256 4 2 2" xfId="22140" xr:uid="{00000000-0005-0000-0000-00007C560000}"/>
    <cellStyle name="Normal 256 4 2 2 2" xfId="22141" xr:uid="{00000000-0005-0000-0000-00007D560000}"/>
    <cellStyle name="Normal 256 4 2 3" xfId="22142" xr:uid="{00000000-0005-0000-0000-00007E560000}"/>
    <cellStyle name="Normal 256 4 2 3 2" xfId="22143" xr:uid="{00000000-0005-0000-0000-00007F560000}"/>
    <cellStyle name="Normal 256 4 2 3 2 2" xfId="22144" xr:uid="{00000000-0005-0000-0000-000080560000}"/>
    <cellStyle name="Normal 256 4 2 3 3" xfId="22145" xr:uid="{00000000-0005-0000-0000-000081560000}"/>
    <cellStyle name="Normal 256 4 2 4" xfId="22146" xr:uid="{00000000-0005-0000-0000-000082560000}"/>
    <cellStyle name="Normal 256 4 3" xfId="22147" xr:uid="{00000000-0005-0000-0000-000083560000}"/>
    <cellStyle name="Normal 256 4 3 2" xfId="22148" xr:uid="{00000000-0005-0000-0000-000084560000}"/>
    <cellStyle name="Normal 256 4 3 2 2" xfId="22149" xr:uid="{00000000-0005-0000-0000-000085560000}"/>
    <cellStyle name="Normal 256 4 3 3" xfId="22150" xr:uid="{00000000-0005-0000-0000-000086560000}"/>
    <cellStyle name="Normal 256 4 4" xfId="22151" xr:uid="{00000000-0005-0000-0000-000087560000}"/>
    <cellStyle name="Normal 256 4 4 2" xfId="22152" xr:uid="{00000000-0005-0000-0000-000088560000}"/>
    <cellStyle name="Normal 256 4 4 2 2" xfId="22153" xr:uid="{00000000-0005-0000-0000-000089560000}"/>
    <cellStyle name="Normal 256 4 4 3" xfId="22154" xr:uid="{00000000-0005-0000-0000-00008A560000}"/>
    <cellStyle name="Normal 256 4 5" xfId="22155" xr:uid="{00000000-0005-0000-0000-00008B560000}"/>
    <cellStyle name="Normal 256 4 5 2" xfId="22156" xr:uid="{00000000-0005-0000-0000-00008C560000}"/>
    <cellStyle name="Normal 256 4 5 2 2" xfId="22157" xr:uid="{00000000-0005-0000-0000-00008D560000}"/>
    <cellStyle name="Normal 256 4 5 3" xfId="22158" xr:uid="{00000000-0005-0000-0000-00008E560000}"/>
    <cellStyle name="Normal 256 4 6" xfId="22159" xr:uid="{00000000-0005-0000-0000-00008F560000}"/>
    <cellStyle name="Normal 256 5" xfId="22160" xr:uid="{00000000-0005-0000-0000-000090560000}"/>
    <cellStyle name="Normal 256 5 2" xfId="22161" xr:uid="{00000000-0005-0000-0000-000091560000}"/>
    <cellStyle name="Normal 256 5 2 2" xfId="22162" xr:uid="{00000000-0005-0000-0000-000092560000}"/>
    <cellStyle name="Normal 256 5 3" xfId="22163" xr:uid="{00000000-0005-0000-0000-000093560000}"/>
    <cellStyle name="Normal 256 6" xfId="22164" xr:uid="{00000000-0005-0000-0000-000094560000}"/>
    <cellStyle name="Normal 256 6 2" xfId="22165" xr:uid="{00000000-0005-0000-0000-000095560000}"/>
    <cellStyle name="Normal 256 6 2 2" xfId="22166" xr:uid="{00000000-0005-0000-0000-000096560000}"/>
    <cellStyle name="Normal 256 6 3" xfId="22167" xr:uid="{00000000-0005-0000-0000-000097560000}"/>
    <cellStyle name="Normal 256 7" xfId="22168" xr:uid="{00000000-0005-0000-0000-000098560000}"/>
    <cellStyle name="Normal 256 7 2" xfId="22169" xr:uid="{00000000-0005-0000-0000-000099560000}"/>
    <cellStyle name="Normal 256 7 2 2" xfId="22170" xr:uid="{00000000-0005-0000-0000-00009A560000}"/>
    <cellStyle name="Normal 256 7 3" xfId="22171" xr:uid="{00000000-0005-0000-0000-00009B560000}"/>
    <cellStyle name="Normal 256 8" xfId="22172" xr:uid="{00000000-0005-0000-0000-00009C560000}"/>
    <cellStyle name="Normal 257" xfId="22173" xr:uid="{00000000-0005-0000-0000-00009D560000}"/>
    <cellStyle name="Normal 257 2" xfId="22174" xr:uid="{00000000-0005-0000-0000-00009E560000}"/>
    <cellStyle name="Normal 257 2 2" xfId="22175" xr:uid="{00000000-0005-0000-0000-00009F560000}"/>
    <cellStyle name="Normal 257 2 2 2" xfId="22176" xr:uid="{00000000-0005-0000-0000-0000A0560000}"/>
    <cellStyle name="Normal 257 2 3" xfId="22177" xr:uid="{00000000-0005-0000-0000-0000A1560000}"/>
    <cellStyle name="Normal 257 2 3 2" xfId="22178" xr:uid="{00000000-0005-0000-0000-0000A2560000}"/>
    <cellStyle name="Normal 257 2 3 2 2" xfId="22179" xr:uid="{00000000-0005-0000-0000-0000A3560000}"/>
    <cellStyle name="Normal 257 2 3 3" xfId="22180" xr:uid="{00000000-0005-0000-0000-0000A4560000}"/>
    <cellStyle name="Normal 257 2 4" xfId="22181" xr:uid="{00000000-0005-0000-0000-0000A5560000}"/>
    <cellStyle name="Normal 257 2 4 2" xfId="22182" xr:uid="{00000000-0005-0000-0000-0000A6560000}"/>
    <cellStyle name="Normal 257 2 4 2 2" xfId="22183" xr:uid="{00000000-0005-0000-0000-0000A7560000}"/>
    <cellStyle name="Normal 257 2 4 3" xfId="22184" xr:uid="{00000000-0005-0000-0000-0000A8560000}"/>
    <cellStyle name="Normal 257 2 5" xfId="22185" xr:uid="{00000000-0005-0000-0000-0000A9560000}"/>
    <cellStyle name="Normal 257 3" xfId="22186" xr:uid="{00000000-0005-0000-0000-0000AA560000}"/>
    <cellStyle name="Normal 257 3 2" xfId="22187" xr:uid="{00000000-0005-0000-0000-0000AB560000}"/>
    <cellStyle name="Normal 257 3 2 2" xfId="22188" xr:uid="{00000000-0005-0000-0000-0000AC560000}"/>
    <cellStyle name="Normal 257 3 2 2 2" xfId="22189" xr:uid="{00000000-0005-0000-0000-0000AD560000}"/>
    <cellStyle name="Normal 257 3 2 3" xfId="22190" xr:uid="{00000000-0005-0000-0000-0000AE560000}"/>
    <cellStyle name="Normal 257 3 2 3 2" xfId="22191" xr:uid="{00000000-0005-0000-0000-0000AF560000}"/>
    <cellStyle name="Normal 257 3 2 3 2 2" xfId="22192" xr:uid="{00000000-0005-0000-0000-0000B0560000}"/>
    <cellStyle name="Normal 257 3 2 3 3" xfId="22193" xr:uid="{00000000-0005-0000-0000-0000B1560000}"/>
    <cellStyle name="Normal 257 3 2 4" xfId="22194" xr:uid="{00000000-0005-0000-0000-0000B2560000}"/>
    <cellStyle name="Normal 257 3 3" xfId="22195" xr:uid="{00000000-0005-0000-0000-0000B3560000}"/>
    <cellStyle name="Normal 257 3 3 2" xfId="22196" xr:uid="{00000000-0005-0000-0000-0000B4560000}"/>
    <cellStyle name="Normal 257 3 3 2 2" xfId="22197" xr:uid="{00000000-0005-0000-0000-0000B5560000}"/>
    <cellStyle name="Normal 257 3 3 3" xfId="22198" xr:uid="{00000000-0005-0000-0000-0000B6560000}"/>
    <cellStyle name="Normal 257 3 4" xfId="22199" xr:uid="{00000000-0005-0000-0000-0000B7560000}"/>
    <cellStyle name="Normal 257 3 4 2" xfId="22200" xr:uid="{00000000-0005-0000-0000-0000B8560000}"/>
    <cellStyle name="Normal 257 3 4 2 2" xfId="22201" xr:uid="{00000000-0005-0000-0000-0000B9560000}"/>
    <cellStyle name="Normal 257 3 4 3" xfId="22202" xr:uid="{00000000-0005-0000-0000-0000BA560000}"/>
    <cellStyle name="Normal 257 3 5" xfId="22203" xr:uid="{00000000-0005-0000-0000-0000BB560000}"/>
    <cellStyle name="Normal 257 3 5 2" xfId="22204" xr:uid="{00000000-0005-0000-0000-0000BC560000}"/>
    <cellStyle name="Normal 257 3 5 2 2" xfId="22205" xr:uid="{00000000-0005-0000-0000-0000BD560000}"/>
    <cellStyle name="Normal 257 3 5 3" xfId="22206" xr:uid="{00000000-0005-0000-0000-0000BE560000}"/>
    <cellStyle name="Normal 257 3 6" xfId="22207" xr:uid="{00000000-0005-0000-0000-0000BF560000}"/>
    <cellStyle name="Normal 257 4" xfId="22208" xr:uid="{00000000-0005-0000-0000-0000C0560000}"/>
    <cellStyle name="Normal 257 4 2" xfId="22209" xr:uid="{00000000-0005-0000-0000-0000C1560000}"/>
    <cellStyle name="Normal 257 4 2 2" xfId="22210" xr:uid="{00000000-0005-0000-0000-0000C2560000}"/>
    <cellStyle name="Normal 257 4 3" xfId="22211" xr:uid="{00000000-0005-0000-0000-0000C3560000}"/>
    <cellStyle name="Normal 257 5" xfId="22212" xr:uid="{00000000-0005-0000-0000-0000C4560000}"/>
    <cellStyle name="Normal 257 5 2" xfId="22213" xr:uid="{00000000-0005-0000-0000-0000C5560000}"/>
    <cellStyle name="Normal 257 5 2 2" xfId="22214" xr:uid="{00000000-0005-0000-0000-0000C6560000}"/>
    <cellStyle name="Normal 257 5 3" xfId="22215" xr:uid="{00000000-0005-0000-0000-0000C7560000}"/>
    <cellStyle name="Normal 257 6" xfId="22216" xr:uid="{00000000-0005-0000-0000-0000C8560000}"/>
    <cellStyle name="Normal 257 6 2" xfId="22217" xr:uid="{00000000-0005-0000-0000-0000C9560000}"/>
    <cellStyle name="Normal 257 6 2 2" xfId="22218" xr:uid="{00000000-0005-0000-0000-0000CA560000}"/>
    <cellStyle name="Normal 257 6 3" xfId="22219" xr:uid="{00000000-0005-0000-0000-0000CB560000}"/>
    <cellStyle name="Normal 257 7" xfId="22220" xr:uid="{00000000-0005-0000-0000-0000CC560000}"/>
    <cellStyle name="Normal 258" xfId="22221" xr:uid="{00000000-0005-0000-0000-0000CD560000}"/>
    <cellStyle name="Normal 258 2" xfId="22222" xr:uid="{00000000-0005-0000-0000-0000CE560000}"/>
    <cellStyle name="Normal 258 2 2" xfId="22223" xr:uid="{00000000-0005-0000-0000-0000CF560000}"/>
    <cellStyle name="Normal 258 2 2 2" xfId="22224" xr:uid="{00000000-0005-0000-0000-0000D0560000}"/>
    <cellStyle name="Normal 258 2 3" xfId="22225" xr:uid="{00000000-0005-0000-0000-0000D1560000}"/>
    <cellStyle name="Normal 258 2 3 2" xfId="22226" xr:uid="{00000000-0005-0000-0000-0000D2560000}"/>
    <cellStyle name="Normal 258 2 3 2 2" xfId="22227" xr:uid="{00000000-0005-0000-0000-0000D3560000}"/>
    <cellStyle name="Normal 258 2 3 3" xfId="22228" xr:uid="{00000000-0005-0000-0000-0000D4560000}"/>
    <cellStyle name="Normal 258 2 4" xfId="22229" xr:uid="{00000000-0005-0000-0000-0000D5560000}"/>
    <cellStyle name="Normal 258 2 4 2" xfId="22230" xr:uid="{00000000-0005-0000-0000-0000D6560000}"/>
    <cellStyle name="Normal 258 2 4 2 2" xfId="22231" xr:uid="{00000000-0005-0000-0000-0000D7560000}"/>
    <cellStyle name="Normal 258 2 4 3" xfId="22232" xr:uid="{00000000-0005-0000-0000-0000D8560000}"/>
    <cellStyle name="Normal 258 2 5" xfId="22233" xr:uid="{00000000-0005-0000-0000-0000D9560000}"/>
    <cellStyle name="Normal 258 3" xfId="22234" xr:uid="{00000000-0005-0000-0000-0000DA560000}"/>
    <cellStyle name="Normal 258 3 2" xfId="22235" xr:uid="{00000000-0005-0000-0000-0000DB560000}"/>
    <cellStyle name="Normal 258 3 2 2" xfId="22236" xr:uid="{00000000-0005-0000-0000-0000DC560000}"/>
    <cellStyle name="Normal 258 3 2 2 2" xfId="22237" xr:uid="{00000000-0005-0000-0000-0000DD560000}"/>
    <cellStyle name="Normal 258 3 2 3" xfId="22238" xr:uid="{00000000-0005-0000-0000-0000DE560000}"/>
    <cellStyle name="Normal 258 3 2 3 2" xfId="22239" xr:uid="{00000000-0005-0000-0000-0000DF560000}"/>
    <cellStyle name="Normal 258 3 2 3 2 2" xfId="22240" xr:uid="{00000000-0005-0000-0000-0000E0560000}"/>
    <cellStyle name="Normal 258 3 2 3 3" xfId="22241" xr:uid="{00000000-0005-0000-0000-0000E1560000}"/>
    <cellStyle name="Normal 258 3 2 4" xfId="22242" xr:uid="{00000000-0005-0000-0000-0000E2560000}"/>
    <cellStyle name="Normal 258 3 3" xfId="22243" xr:uid="{00000000-0005-0000-0000-0000E3560000}"/>
    <cellStyle name="Normal 258 3 3 2" xfId="22244" xr:uid="{00000000-0005-0000-0000-0000E4560000}"/>
    <cellStyle name="Normal 258 3 3 2 2" xfId="22245" xr:uid="{00000000-0005-0000-0000-0000E5560000}"/>
    <cellStyle name="Normal 258 3 3 3" xfId="22246" xr:uid="{00000000-0005-0000-0000-0000E6560000}"/>
    <cellStyle name="Normal 258 3 4" xfId="22247" xr:uid="{00000000-0005-0000-0000-0000E7560000}"/>
    <cellStyle name="Normal 258 3 4 2" xfId="22248" xr:uid="{00000000-0005-0000-0000-0000E8560000}"/>
    <cellStyle name="Normal 258 3 4 2 2" xfId="22249" xr:uid="{00000000-0005-0000-0000-0000E9560000}"/>
    <cellStyle name="Normal 258 3 4 3" xfId="22250" xr:uid="{00000000-0005-0000-0000-0000EA560000}"/>
    <cellStyle name="Normal 258 3 5" xfId="22251" xr:uid="{00000000-0005-0000-0000-0000EB560000}"/>
    <cellStyle name="Normal 258 3 5 2" xfId="22252" xr:uid="{00000000-0005-0000-0000-0000EC560000}"/>
    <cellStyle name="Normal 258 3 5 2 2" xfId="22253" xr:uid="{00000000-0005-0000-0000-0000ED560000}"/>
    <cellStyle name="Normal 258 3 5 3" xfId="22254" xr:uid="{00000000-0005-0000-0000-0000EE560000}"/>
    <cellStyle name="Normal 258 3 6" xfId="22255" xr:uid="{00000000-0005-0000-0000-0000EF560000}"/>
    <cellStyle name="Normal 258 4" xfId="22256" xr:uid="{00000000-0005-0000-0000-0000F0560000}"/>
    <cellStyle name="Normal 258 4 2" xfId="22257" xr:uid="{00000000-0005-0000-0000-0000F1560000}"/>
    <cellStyle name="Normal 258 4 2 2" xfId="22258" xr:uid="{00000000-0005-0000-0000-0000F2560000}"/>
    <cellStyle name="Normal 258 4 3" xfId="22259" xr:uid="{00000000-0005-0000-0000-0000F3560000}"/>
    <cellStyle name="Normal 258 5" xfId="22260" xr:uid="{00000000-0005-0000-0000-0000F4560000}"/>
    <cellStyle name="Normal 258 5 2" xfId="22261" xr:uid="{00000000-0005-0000-0000-0000F5560000}"/>
    <cellStyle name="Normal 258 5 2 2" xfId="22262" xr:uid="{00000000-0005-0000-0000-0000F6560000}"/>
    <cellStyle name="Normal 258 5 3" xfId="22263" xr:uid="{00000000-0005-0000-0000-0000F7560000}"/>
    <cellStyle name="Normal 258 6" xfId="22264" xr:uid="{00000000-0005-0000-0000-0000F8560000}"/>
    <cellStyle name="Normal 258 6 2" xfId="22265" xr:uid="{00000000-0005-0000-0000-0000F9560000}"/>
    <cellStyle name="Normal 258 6 2 2" xfId="22266" xr:uid="{00000000-0005-0000-0000-0000FA560000}"/>
    <cellStyle name="Normal 258 6 3" xfId="22267" xr:uid="{00000000-0005-0000-0000-0000FB560000}"/>
    <cellStyle name="Normal 258 7" xfId="22268" xr:uid="{00000000-0005-0000-0000-0000FC560000}"/>
    <cellStyle name="Normal 259" xfId="22269" xr:uid="{00000000-0005-0000-0000-0000FD560000}"/>
    <cellStyle name="Normal 259 2" xfId="22270" xr:uid="{00000000-0005-0000-0000-0000FE560000}"/>
    <cellStyle name="Normal 259 2 2" xfId="22271" xr:uid="{00000000-0005-0000-0000-0000FF560000}"/>
    <cellStyle name="Normal 259 2 2 2" xfId="22272" xr:uid="{00000000-0005-0000-0000-000000570000}"/>
    <cellStyle name="Normal 259 2 3" xfId="22273" xr:uid="{00000000-0005-0000-0000-000001570000}"/>
    <cellStyle name="Normal 259 2 3 2" xfId="22274" xr:uid="{00000000-0005-0000-0000-000002570000}"/>
    <cellStyle name="Normal 259 2 3 2 2" xfId="22275" xr:uid="{00000000-0005-0000-0000-000003570000}"/>
    <cellStyle name="Normal 259 2 3 3" xfId="22276" xr:uid="{00000000-0005-0000-0000-000004570000}"/>
    <cellStyle name="Normal 259 2 4" xfId="22277" xr:uid="{00000000-0005-0000-0000-000005570000}"/>
    <cellStyle name="Normal 259 2 4 2" xfId="22278" xr:uid="{00000000-0005-0000-0000-000006570000}"/>
    <cellStyle name="Normal 259 2 4 2 2" xfId="22279" xr:uid="{00000000-0005-0000-0000-000007570000}"/>
    <cellStyle name="Normal 259 2 4 3" xfId="22280" xr:uid="{00000000-0005-0000-0000-000008570000}"/>
    <cellStyle name="Normal 259 2 5" xfId="22281" xr:uid="{00000000-0005-0000-0000-000009570000}"/>
    <cellStyle name="Normal 259 3" xfId="22282" xr:uid="{00000000-0005-0000-0000-00000A570000}"/>
    <cellStyle name="Normal 259 3 2" xfId="22283" xr:uid="{00000000-0005-0000-0000-00000B570000}"/>
    <cellStyle name="Normal 259 3 2 2" xfId="22284" xr:uid="{00000000-0005-0000-0000-00000C570000}"/>
    <cellStyle name="Normal 259 3 2 2 2" xfId="22285" xr:uid="{00000000-0005-0000-0000-00000D570000}"/>
    <cellStyle name="Normal 259 3 2 3" xfId="22286" xr:uid="{00000000-0005-0000-0000-00000E570000}"/>
    <cellStyle name="Normal 259 3 2 3 2" xfId="22287" xr:uid="{00000000-0005-0000-0000-00000F570000}"/>
    <cellStyle name="Normal 259 3 2 3 2 2" xfId="22288" xr:uid="{00000000-0005-0000-0000-000010570000}"/>
    <cellStyle name="Normal 259 3 2 3 3" xfId="22289" xr:uid="{00000000-0005-0000-0000-000011570000}"/>
    <cellStyle name="Normal 259 3 2 4" xfId="22290" xr:uid="{00000000-0005-0000-0000-000012570000}"/>
    <cellStyle name="Normal 259 3 3" xfId="22291" xr:uid="{00000000-0005-0000-0000-000013570000}"/>
    <cellStyle name="Normal 259 3 3 2" xfId="22292" xr:uid="{00000000-0005-0000-0000-000014570000}"/>
    <cellStyle name="Normal 259 3 3 2 2" xfId="22293" xr:uid="{00000000-0005-0000-0000-000015570000}"/>
    <cellStyle name="Normal 259 3 3 3" xfId="22294" xr:uid="{00000000-0005-0000-0000-000016570000}"/>
    <cellStyle name="Normal 259 3 4" xfId="22295" xr:uid="{00000000-0005-0000-0000-000017570000}"/>
    <cellStyle name="Normal 259 3 4 2" xfId="22296" xr:uid="{00000000-0005-0000-0000-000018570000}"/>
    <cellStyle name="Normal 259 3 4 2 2" xfId="22297" xr:uid="{00000000-0005-0000-0000-000019570000}"/>
    <cellStyle name="Normal 259 3 4 3" xfId="22298" xr:uid="{00000000-0005-0000-0000-00001A570000}"/>
    <cellStyle name="Normal 259 3 5" xfId="22299" xr:uid="{00000000-0005-0000-0000-00001B570000}"/>
    <cellStyle name="Normal 259 3 5 2" xfId="22300" xr:uid="{00000000-0005-0000-0000-00001C570000}"/>
    <cellStyle name="Normal 259 3 5 2 2" xfId="22301" xr:uid="{00000000-0005-0000-0000-00001D570000}"/>
    <cellStyle name="Normal 259 3 5 3" xfId="22302" xr:uid="{00000000-0005-0000-0000-00001E570000}"/>
    <cellStyle name="Normal 259 3 6" xfId="22303" xr:uid="{00000000-0005-0000-0000-00001F570000}"/>
    <cellStyle name="Normal 259 4" xfId="22304" xr:uid="{00000000-0005-0000-0000-000020570000}"/>
    <cellStyle name="Normal 259 4 2" xfId="22305" xr:uid="{00000000-0005-0000-0000-000021570000}"/>
    <cellStyle name="Normal 259 4 2 2" xfId="22306" xr:uid="{00000000-0005-0000-0000-000022570000}"/>
    <cellStyle name="Normal 259 4 3" xfId="22307" xr:uid="{00000000-0005-0000-0000-000023570000}"/>
    <cellStyle name="Normal 259 5" xfId="22308" xr:uid="{00000000-0005-0000-0000-000024570000}"/>
    <cellStyle name="Normal 259 5 2" xfId="22309" xr:uid="{00000000-0005-0000-0000-000025570000}"/>
    <cellStyle name="Normal 259 5 2 2" xfId="22310" xr:uid="{00000000-0005-0000-0000-000026570000}"/>
    <cellStyle name="Normal 259 5 3" xfId="22311" xr:uid="{00000000-0005-0000-0000-000027570000}"/>
    <cellStyle name="Normal 259 6" xfId="22312" xr:uid="{00000000-0005-0000-0000-000028570000}"/>
    <cellStyle name="Normal 259 6 2" xfId="22313" xr:uid="{00000000-0005-0000-0000-000029570000}"/>
    <cellStyle name="Normal 259 6 2 2" xfId="22314" xr:uid="{00000000-0005-0000-0000-00002A570000}"/>
    <cellStyle name="Normal 259 6 3" xfId="22315" xr:uid="{00000000-0005-0000-0000-00002B570000}"/>
    <cellStyle name="Normal 259 7" xfId="22316" xr:uid="{00000000-0005-0000-0000-00002C570000}"/>
    <cellStyle name="Normal 26" xfId="22317" xr:uid="{00000000-0005-0000-0000-00002D570000}"/>
    <cellStyle name="Normal 26 2" xfId="22318" xr:uid="{00000000-0005-0000-0000-00002E570000}"/>
    <cellStyle name="Normal 26 2 2" xfId="22319" xr:uid="{00000000-0005-0000-0000-00002F570000}"/>
    <cellStyle name="Normal 26 2 2 2" xfId="22320" xr:uid="{00000000-0005-0000-0000-000030570000}"/>
    <cellStyle name="Normal 26 2 2 2 2" xfId="22321" xr:uid="{00000000-0005-0000-0000-000031570000}"/>
    <cellStyle name="Normal 26 2 2 3" xfId="22322" xr:uid="{00000000-0005-0000-0000-000032570000}"/>
    <cellStyle name="Normal 26 2 2 3 2" xfId="22323" xr:uid="{00000000-0005-0000-0000-000033570000}"/>
    <cellStyle name="Normal 26 2 2 3 2 2" xfId="22324" xr:uid="{00000000-0005-0000-0000-000034570000}"/>
    <cellStyle name="Normal 26 2 2 3 3" xfId="22325" xr:uid="{00000000-0005-0000-0000-000035570000}"/>
    <cellStyle name="Normal 26 2 2 4" xfId="22326" xr:uid="{00000000-0005-0000-0000-000036570000}"/>
    <cellStyle name="Normal 26 2 2 4 2" xfId="22327" xr:uid="{00000000-0005-0000-0000-000037570000}"/>
    <cellStyle name="Normal 26 2 2 4 2 2" xfId="22328" xr:uid="{00000000-0005-0000-0000-000038570000}"/>
    <cellStyle name="Normal 26 2 2 4 3" xfId="22329" xr:uid="{00000000-0005-0000-0000-000039570000}"/>
    <cellStyle name="Normal 26 2 2 5" xfId="22330" xr:uid="{00000000-0005-0000-0000-00003A570000}"/>
    <cellStyle name="Normal 26 2 3" xfId="22331" xr:uid="{00000000-0005-0000-0000-00003B570000}"/>
    <cellStyle name="Normal 26 2 3 2" xfId="22332" xr:uid="{00000000-0005-0000-0000-00003C570000}"/>
    <cellStyle name="Normal 26 2 3 2 2" xfId="22333" xr:uid="{00000000-0005-0000-0000-00003D570000}"/>
    <cellStyle name="Normal 26 2 3 3" xfId="22334" xr:uid="{00000000-0005-0000-0000-00003E570000}"/>
    <cellStyle name="Normal 26 2 4" xfId="22335" xr:uid="{00000000-0005-0000-0000-00003F570000}"/>
    <cellStyle name="Normal 26 2 4 2" xfId="22336" xr:uid="{00000000-0005-0000-0000-000040570000}"/>
    <cellStyle name="Normal 26 2 4 2 2" xfId="22337" xr:uid="{00000000-0005-0000-0000-000041570000}"/>
    <cellStyle name="Normal 26 2 4 3" xfId="22338" xr:uid="{00000000-0005-0000-0000-000042570000}"/>
    <cellStyle name="Normal 26 2 5" xfId="22339" xr:uid="{00000000-0005-0000-0000-000043570000}"/>
    <cellStyle name="Normal 26 2 5 2" xfId="22340" xr:uid="{00000000-0005-0000-0000-000044570000}"/>
    <cellStyle name="Normal 26 2 5 2 2" xfId="22341" xr:uid="{00000000-0005-0000-0000-000045570000}"/>
    <cellStyle name="Normal 26 2 5 3" xfId="22342" xr:uid="{00000000-0005-0000-0000-000046570000}"/>
    <cellStyle name="Normal 26 2 6" xfId="22343" xr:uid="{00000000-0005-0000-0000-000047570000}"/>
    <cellStyle name="Normal 26 3" xfId="22344" xr:uid="{00000000-0005-0000-0000-000048570000}"/>
    <cellStyle name="Normal 26 3 2" xfId="22345" xr:uid="{00000000-0005-0000-0000-000049570000}"/>
    <cellStyle name="Normal 26 3 2 2" xfId="22346" xr:uid="{00000000-0005-0000-0000-00004A570000}"/>
    <cellStyle name="Normal 26 3 3" xfId="22347" xr:uid="{00000000-0005-0000-0000-00004B570000}"/>
    <cellStyle name="Normal 26 3 3 2" xfId="22348" xr:uid="{00000000-0005-0000-0000-00004C570000}"/>
    <cellStyle name="Normal 26 3 3 2 2" xfId="22349" xr:uid="{00000000-0005-0000-0000-00004D570000}"/>
    <cellStyle name="Normal 26 3 3 3" xfId="22350" xr:uid="{00000000-0005-0000-0000-00004E570000}"/>
    <cellStyle name="Normal 26 3 4" xfId="22351" xr:uid="{00000000-0005-0000-0000-00004F570000}"/>
    <cellStyle name="Normal 26 3 4 2" xfId="22352" xr:uid="{00000000-0005-0000-0000-000050570000}"/>
    <cellStyle name="Normal 26 3 4 2 2" xfId="22353" xr:uid="{00000000-0005-0000-0000-000051570000}"/>
    <cellStyle name="Normal 26 3 4 3" xfId="22354" xr:uid="{00000000-0005-0000-0000-000052570000}"/>
    <cellStyle name="Normal 26 3 5" xfId="22355" xr:uid="{00000000-0005-0000-0000-000053570000}"/>
    <cellStyle name="Normal 26 4" xfId="22356" xr:uid="{00000000-0005-0000-0000-000054570000}"/>
    <cellStyle name="Normal 26 4 2" xfId="22357" xr:uid="{00000000-0005-0000-0000-000055570000}"/>
    <cellStyle name="Normal 26 4 2 2" xfId="22358" xr:uid="{00000000-0005-0000-0000-000056570000}"/>
    <cellStyle name="Normal 26 4 3" xfId="22359" xr:uid="{00000000-0005-0000-0000-000057570000}"/>
    <cellStyle name="Normal 26 4 3 2" xfId="22360" xr:uid="{00000000-0005-0000-0000-000058570000}"/>
    <cellStyle name="Normal 26 4 3 2 2" xfId="22361" xr:uid="{00000000-0005-0000-0000-000059570000}"/>
    <cellStyle name="Normal 26 4 3 3" xfId="22362" xr:uid="{00000000-0005-0000-0000-00005A570000}"/>
    <cellStyle name="Normal 26 4 4" xfId="22363" xr:uid="{00000000-0005-0000-0000-00005B570000}"/>
    <cellStyle name="Normal 26 4 4 2" xfId="22364" xr:uid="{00000000-0005-0000-0000-00005C570000}"/>
    <cellStyle name="Normal 26 4 4 2 2" xfId="22365" xr:uid="{00000000-0005-0000-0000-00005D570000}"/>
    <cellStyle name="Normal 26 4 4 3" xfId="22366" xr:uid="{00000000-0005-0000-0000-00005E570000}"/>
    <cellStyle name="Normal 26 4 5" xfId="22367" xr:uid="{00000000-0005-0000-0000-00005F570000}"/>
    <cellStyle name="Normal 26 5" xfId="22368" xr:uid="{00000000-0005-0000-0000-000060570000}"/>
    <cellStyle name="Normal 26 5 2" xfId="22369" xr:uid="{00000000-0005-0000-0000-000061570000}"/>
    <cellStyle name="Normal 26 5 2 2" xfId="22370" xr:uid="{00000000-0005-0000-0000-000062570000}"/>
    <cellStyle name="Normal 26 5 3" xfId="22371" xr:uid="{00000000-0005-0000-0000-000063570000}"/>
    <cellStyle name="Normal 26 6" xfId="22372" xr:uid="{00000000-0005-0000-0000-000064570000}"/>
    <cellStyle name="Normal 26 6 2" xfId="22373" xr:uid="{00000000-0005-0000-0000-000065570000}"/>
    <cellStyle name="Normal 26 6 2 2" xfId="22374" xr:uid="{00000000-0005-0000-0000-000066570000}"/>
    <cellStyle name="Normal 26 6 3" xfId="22375" xr:uid="{00000000-0005-0000-0000-000067570000}"/>
    <cellStyle name="Normal 26 7" xfId="22376" xr:uid="{00000000-0005-0000-0000-000068570000}"/>
    <cellStyle name="Normal 26 7 2" xfId="22377" xr:uid="{00000000-0005-0000-0000-000069570000}"/>
    <cellStyle name="Normal 26 7 2 2" xfId="22378" xr:uid="{00000000-0005-0000-0000-00006A570000}"/>
    <cellStyle name="Normal 26 7 3" xfId="22379" xr:uid="{00000000-0005-0000-0000-00006B570000}"/>
    <cellStyle name="Normal 26 8" xfId="22380" xr:uid="{00000000-0005-0000-0000-00006C570000}"/>
    <cellStyle name="Normal 260" xfId="22381" xr:uid="{00000000-0005-0000-0000-00006D570000}"/>
    <cellStyle name="Normal 260 2" xfId="22382" xr:uid="{00000000-0005-0000-0000-00006E570000}"/>
    <cellStyle name="Normal 260 2 2" xfId="22383" xr:uid="{00000000-0005-0000-0000-00006F570000}"/>
    <cellStyle name="Normal 260 2 2 2" xfId="22384" xr:uid="{00000000-0005-0000-0000-000070570000}"/>
    <cellStyle name="Normal 260 2 2 2 2" xfId="22385" xr:uid="{00000000-0005-0000-0000-000071570000}"/>
    <cellStyle name="Normal 260 2 2 3" xfId="22386" xr:uid="{00000000-0005-0000-0000-000072570000}"/>
    <cellStyle name="Normal 260 2 2 3 2" xfId="22387" xr:uid="{00000000-0005-0000-0000-000073570000}"/>
    <cellStyle name="Normal 260 2 2 3 2 2" xfId="22388" xr:uid="{00000000-0005-0000-0000-000074570000}"/>
    <cellStyle name="Normal 260 2 2 3 3" xfId="22389" xr:uid="{00000000-0005-0000-0000-000075570000}"/>
    <cellStyle name="Normal 260 2 2 4" xfId="22390" xr:uid="{00000000-0005-0000-0000-000076570000}"/>
    <cellStyle name="Normal 260 2 2 4 2" xfId="22391" xr:uid="{00000000-0005-0000-0000-000077570000}"/>
    <cellStyle name="Normal 260 2 2 4 2 2" xfId="22392" xr:uid="{00000000-0005-0000-0000-000078570000}"/>
    <cellStyle name="Normal 260 2 2 4 3" xfId="22393" xr:uid="{00000000-0005-0000-0000-000079570000}"/>
    <cellStyle name="Normal 260 2 2 5" xfId="22394" xr:uid="{00000000-0005-0000-0000-00007A570000}"/>
    <cellStyle name="Normal 260 2 3" xfId="22395" xr:uid="{00000000-0005-0000-0000-00007B570000}"/>
    <cellStyle name="Normal 260 2 3 2" xfId="22396" xr:uid="{00000000-0005-0000-0000-00007C570000}"/>
    <cellStyle name="Normal 260 2 3 2 2" xfId="22397" xr:uid="{00000000-0005-0000-0000-00007D570000}"/>
    <cellStyle name="Normal 260 2 3 2 2 2" xfId="22398" xr:uid="{00000000-0005-0000-0000-00007E570000}"/>
    <cellStyle name="Normal 260 2 3 2 3" xfId="22399" xr:uid="{00000000-0005-0000-0000-00007F570000}"/>
    <cellStyle name="Normal 260 2 3 2 3 2" xfId="22400" xr:uid="{00000000-0005-0000-0000-000080570000}"/>
    <cellStyle name="Normal 260 2 3 2 3 2 2" xfId="22401" xr:uid="{00000000-0005-0000-0000-000081570000}"/>
    <cellStyle name="Normal 260 2 3 2 3 3" xfId="22402" xr:uid="{00000000-0005-0000-0000-000082570000}"/>
    <cellStyle name="Normal 260 2 3 2 4" xfId="22403" xr:uid="{00000000-0005-0000-0000-000083570000}"/>
    <cellStyle name="Normal 260 2 3 3" xfId="22404" xr:uid="{00000000-0005-0000-0000-000084570000}"/>
    <cellStyle name="Normal 260 2 3 3 2" xfId="22405" xr:uid="{00000000-0005-0000-0000-000085570000}"/>
    <cellStyle name="Normal 260 2 3 3 2 2" xfId="22406" xr:uid="{00000000-0005-0000-0000-000086570000}"/>
    <cellStyle name="Normal 260 2 3 3 3" xfId="22407" xr:uid="{00000000-0005-0000-0000-000087570000}"/>
    <cellStyle name="Normal 260 2 3 4" xfId="22408" xr:uid="{00000000-0005-0000-0000-000088570000}"/>
    <cellStyle name="Normal 260 2 3 4 2" xfId="22409" xr:uid="{00000000-0005-0000-0000-000089570000}"/>
    <cellStyle name="Normal 260 2 3 4 2 2" xfId="22410" xr:uid="{00000000-0005-0000-0000-00008A570000}"/>
    <cellStyle name="Normal 260 2 3 4 3" xfId="22411" xr:uid="{00000000-0005-0000-0000-00008B570000}"/>
    <cellStyle name="Normal 260 2 3 5" xfId="22412" xr:uid="{00000000-0005-0000-0000-00008C570000}"/>
    <cellStyle name="Normal 260 2 3 5 2" xfId="22413" xr:uid="{00000000-0005-0000-0000-00008D570000}"/>
    <cellStyle name="Normal 260 2 3 5 2 2" xfId="22414" xr:uid="{00000000-0005-0000-0000-00008E570000}"/>
    <cellStyle name="Normal 260 2 3 5 3" xfId="22415" xr:uid="{00000000-0005-0000-0000-00008F570000}"/>
    <cellStyle name="Normal 260 2 3 6" xfId="22416" xr:uid="{00000000-0005-0000-0000-000090570000}"/>
    <cellStyle name="Normal 260 2 4" xfId="22417" xr:uid="{00000000-0005-0000-0000-000091570000}"/>
    <cellStyle name="Normal 260 2 4 2" xfId="22418" xr:uid="{00000000-0005-0000-0000-000092570000}"/>
    <cellStyle name="Normal 260 2 4 2 2" xfId="22419" xr:uid="{00000000-0005-0000-0000-000093570000}"/>
    <cellStyle name="Normal 260 2 4 3" xfId="22420" xr:uid="{00000000-0005-0000-0000-000094570000}"/>
    <cellStyle name="Normal 260 2 5" xfId="22421" xr:uid="{00000000-0005-0000-0000-000095570000}"/>
    <cellStyle name="Normal 260 2 5 2" xfId="22422" xr:uid="{00000000-0005-0000-0000-000096570000}"/>
    <cellStyle name="Normal 260 2 5 2 2" xfId="22423" xr:uid="{00000000-0005-0000-0000-000097570000}"/>
    <cellStyle name="Normal 260 2 5 3" xfId="22424" xr:uid="{00000000-0005-0000-0000-000098570000}"/>
    <cellStyle name="Normal 260 2 6" xfId="22425" xr:uid="{00000000-0005-0000-0000-000099570000}"/>
    <cellStyle name="Normal 260 2 6 2" xfId="22426" xr:uid="{00000000-0005-0000-0000-00009A570000}"/>
    <cellStyle name="Normal 260 2 6 2 2" xfId="22427" xr:uid="{00000000-0005-0000-0000-00009B570000}"/>
    <cellStyle name="Normal 260 2 6 3" xfId="22428" xr:uid="{00000000-0005-0000-0000-00009C570000}"/>
    <cellStyle name="Normal 260 2 7" xfId="22429" xr:uid="{00000000-0005-0000-0000-00009D570000}"/>
    <cellStyle name="Normal 260 3" xfId="22430" xr:uid="{00000000-0005-0000-0000-00009E570000}"/>
    <cellStyle name="Normal 260 3 2" xfId="22431" xr:uid="{00000000-0005-0000-0000-00009F570000}"/>
    <cellStyle name="Normal 260 3 2 2" xfId="22432" xr:uid="{00000000-0005-0000-0000-0000A0570000}"/>
    <cellStyle name="Normal 260 3 3" xfId="22433" xr:uid="{00000000-0005-0000-0000-0000A1570000}"/>
    <cellStyle name="Normal 260 3 3 2" xfId="22434" xr:uid="{00000000-0005-0000-0000-0000A2570000}"/>
    <cellStyle name="Normal 260 3 3 2 2" xfId="22435" xr:uid="{00000000-0005-0000-0000-0000A3570000}"/>
    <cellStyle name="Normal 260 3 3 3" xfId="22436" xr:uid="{00000000-0005-0000-0000-0000A4570000}"/>
    <cellStyle name="Normal 260 3 4" xfId="22437" xr:uid="{00000000-0005-0000-0000-0000A5570000}"/>
    <cellStyle name="Normal 260 3 4 2" xfId="22438" xr:uid="{00000000-0005-0000-0000-0000A6570000}"/>
    <cellStyle name="Normal 260 3 4 2 2" xfId="22439" xr:uid="{00000000-0005-0000-0000-0000A7570000}"/>
    <cellStyle name="Normal 260 3 4 3" xfId="22440" xr:uid="{00000000-0005-0000-0000-0000A8570000}"/>
    <cellStyle name="Normal 260 3 5" xfId="22441" xr:uid="{00000000-0005-0000-0000-0000A9570000}"/>
    <cellStyle name="Normal 260 4" xfId="22442" xr:uid="{00000000-0005-0000-0000-0000AA570000}"/>
    <cellStyle name="Normal 260 4 2" xfId="22443" xr:uid="{00000000-0005-0000-0000-0000AB570000}"/>
    <cellStyle name="Normal 260 4 2 2" xfId="22444" xr:uid="{00000000-0005-0000-0000-0000AC570000}"/>
    <cellStyle name="Normal 260 4 2 2 2" xfId="22445" xr:uid="{00000000-0005-0000-0000-0000AD570000}"/>
    <cellStyle name="Normal 260 4 2 3" xfId="22446" xr:uid="{00000000-0005-0000-0000-0000AE570000}"/>
    <cellStyle name="Normal 260 4 2 3 2" xfId="22447" xr:uid="{00000000-0005-0000-0000-0000AF570000}"/>
    <cellStyle name="Normal 260 4 2 3 2 2" xfId="22448" xr:uid="{00000000-0005-0000-0000-0000B0570000}"/>
    <cellStyle name="Normal 260 4 2 3 3" xfId="22449" xr:uid="{00000000-0005-0000-0000-0000B1570000}"/>
    <cellStyle name="Normal 260 4 2 4" xfId="22450" xr:uid="{00000000-0005-0000-0000-0000B2570000}"/>
    <cellStyle name="Normal 260 4 3" xfId="22451" xr:uid="{00000000-0005-0000-0000-0000B3570000}"/>
    <cellStyle name="Normal 260 4 3 2" xfId="22452" xr:uid="{00000000-0005-0000-0000-0000B4570000}"/>
    <cellStyle name="Normal 260 4 3 2 2" xfId="22453" xr:uid="{00000000-0005-0000-0000-0000B5570000}"/>
    <cellStyle name="Normal 260 4 3 3" xfId="22454" xr:uid="{00000000-0005-0000-0000-0000B6570000}"/>
    <cellStyle name="Normal 260 4 4" xfId="22455" xr:uid="{00000000-0005-0000-0000-0000B7570000}"/>
    <cellStyle name="Normal 260 4 4 2" xfId="22456" xr:uid="{00000000-0005-0000-0000-0000B8570000}"/>
    <cellStyle name="Normal 260 4 4 2 2" xfId="22457" xr:uid="{00000000-0005-0000-0000-0000B9570000}"/>
    <cellStyle name="Normal 260 4 4 3" xfId="22458" xr:uid="{00000000-0005-0000-0000-0000BA570000}"/>
    <cellStyle name="Normal 260 4 5" xfId="22459" xr:uid="{00000000-0005-0000-0000-0000BB570000}"/>
    <cellStyle name="Normal 260 4 5 2" xfId="22460" xr:uid="{00000000-0005-0000-0000-0000BC570000}"/>
    <cellStyle name="Normal 260 4 5 2 2" xfId="22461" xr:uid="{00000000-0005-0000-0000-0000BD570000}"/>
    <cellStyle name="Normal 260 4 5 3" xfId="22462" xr:uid="{00000000-0005-0000-0000-0000BE570000}"/>
    <cellStyle name="Normal 260 4 6" xfId="22463" xr:uid="{00000000-0005-0000-0000-0000BF570000}"/>
    <cellStyle name="Normal 260 5" xfId="22464" xr:uid="{00000000-0005-0000-0000-0000C0570000}"/>
    <cellStyle name="Normal 260 5 2" xfId="22465" xr:uid="{00000000-0005-0000-0000-0000C1570000}"/>
    <cellStyle name="Normal 260 5 2 2" xfId="22466" xr:uid="{00000000-0005-0000-0000-0000C2570000}"/>
    <cellStyle name="Normal 260 5 3" xfId="22467" xr:uid="{00000000-0005-0000-0000-0000C3570000}"/>
    <cellStyle name="Normal 260 6" xfId="22468" xr:uid="{00000000-0005-0000-0000-0000C4570000}"/>
    <cellStyle name="Normal 260 6 2" xfId="22469" xr:uid="{00000000-0005-0000-0000-0000C5570000}"/>
    <cellStyle name="Normal 260 6 2 2" xfId="22470" xr:uid="{00000000-0005-0000-0000-0000C6570000}"/>
    <cellStyle name="Normal 260 6 3" xfId="22471" xr:uid="{00000000-0005-0000-0000-0000C7570000}"/>
    <cellStyle name="Normal 260 7" xfId="22472" xr:uid="{00000000-0005-0000-0000-0000C8570000}"/>
    <cellStyle name="Normal 260 7 2" xfId="22473" xr:uid="{00000000-0005-0000-0000-0000C9570000}"/>
    <cellStyle name="Normal 260 7 2 2" xfId="22474" xr:uid="{00000000-0005-0000-0000-0000CA570000}"/>
    <cellStyle name="Normal 260 7 3" xfId="22475" xr:uid="{00000000-0005-0000-0000-0000CB570000}"/>
    <cellStyle name="Normal 260 8" xfId="22476" xr:uid="{00000000-0005-0000-0000-0000CC570000}"/>
    <cellStyle name="Normal 261" xfId="22477" xr:uid="{00000000-0005-0000-0000-0000CD570000}"/>
    <cellStyle name="Normal 261 2" xfId="22478" xr:uid="{00000000-0005-0000-0000-0000CE570000}"/>
    <cellStyle name="Normal 261 2 2" xfId="22479" xr:uid="{00000000-0005-0000-0000-0000CF570000}"/>
    <cellStyle name="Normal 261 2 2 2" xfId="22480" xr:uid="{00000000-0005-0000-0000-0000D0570000}"/>
    <cellStyle name="Normal 261 2 2 2 2" xfId="22481" xr:uid="{00000000-0005-0000-0000-0000D1570000}"/>
    <cellStyle name="Normal 261 2 2 3" xfId="22482" xr:uid="{00000000-0005-0000-0000-0000D2570000}"/>
    <cellStyle name="Normal 261 2 2 3 2" xfId="22483" xr:uid="{00000000-0005-0000-0000-0000D3570000}"/>
    <cellStyle name="Normal 261 2 2 3 2 2" xfId="22484" xr:uid="{00000000-0005-0000-0000-0000D4570000}"/>
    <cellStyle name="Normal 261 2 2 3 3" xfId="22485" xr:uid="{00000000-0005-0000-0000-0000D5570000}"/>
    <cellStyle name="Normal 261 2 2 4" xfId="22486" xr:uid="{00000000-0005-0000-0000-0000D6570000}"/>
    <cellStyle name="Normal 261 2 2 4 2" xfId="22487" xr:uid="{00000000-0005-0000-0000-0000D7570000}"/>
    <cellStyle name="Normal 261 2 2 4 2 2" xfId="22488" xr:uid="{00000000-0005-0000-0000-0000D8570000}"/>
    <cellStyle name="Normal 261 2 2 4 3" xfId="22489" xr:uid="{00000000-0005-0000-0000-0000D9570000}"/>
    <cellStyle name="Normal 261 2 2 5" xfId="22490" xr:uid="{00000000-0005-0000-0000-0000DA570000}"/>
    <cellStyle name="Normal 261 2 3" xfId="22491" xr:uid="{00000000-0005-0000-0000-0000DB570000}"/>
    <cellStyle name="Normal 261 2 3 2" xfId="22492" xr:uid="{00000000-0005-0000-0000-0000DC570000}"/>
    <cellStyle name="Normal 261 2 3 2 2" xfId="22493" xr:uid="{00000000-0005-0000-0000-0000DD570000}"/>
    <cellStyle name="Normal 261 2 3 2 2 2" xfId="22494" xr:uid="{00000000-0005-0000-0000-0000DE570000}"/>
    <cellStyle name="Normal 261 2 3 2 3" xfId="22495" xr:uid="{00000000-0005-0000-0000-0000DF570000}"/>
    <cellStyle name="Normal 261 2 3 2 3 2" xfId="22496" xr:uid="{00000000-0005-0000-0000-0000E0570000}"/>
    <cellStyle name="Normal 261 2 3 2 3 2 2" xfId="22497" xr:uid="{00000000-0005-0000-0000-0000E1570000}"/>
    <cellStyle name="Normal 261 2 3 2 3 3" xfId="22498" xr:uid="{00000000-0005-0000-0000-0000E2570000}"/>
    <cellStyle name="Normal 261 2 3 2 4" xfId="22499" xr:uid="{00000000-0005-0000-0000-0000E3570000}"/>
    <cellStyle name="Normal 261 2 3 3" xfId="22500" xr:uid="{00000000-0005-0000-0000-0000E4570000}"/>
    <cellStyle name="Normal 261 2 3 3 2" xfId="22501" xr:uid="{00000000-0005-0000-0000-0000E5570000}"/>
    <cellStyle name="Normal 261 2 3 3 2 2" xfId="22502" xr:uid="{00000000-0005-0000-0000-0000E6570000}"/>
    <cellStyle name="Normal 261 2 3 3 3" xfId="22503" xr:uid="{00000000-0005-0000-0000-0000E7570000}"/>
    <cellStyle name="Normal 261 2 3 4" xfId="22504" xr:uid="{00000000-0005-0000-0000-0000E8570000}"/>
    <cellStyle name="Normal 261 2 3 4 2" xfId="22505" xr:uid="{00000000-0005-0000-0000-0000E9570000}"/>
    <cellStyle name="Normal 261 2 3 4 2 2" xfId="22506" xr:uid="{00000000-0005-0000-0000-0000EA570000}"/>
    <cellStyle name="Normal 261 2 3 4 3" xfId="22507" xr:uid="{00000000-0005-0000-0000-0000EB570000}"/>
    <cellStyle name="Normal 261 2 3 5" xfId="22508" xr:uid="{00000000-0005-0000-0000-0000EC570000}"/>
    <cellStyle name="Normal 261 2 3 5 2" xfId="22509" xr:uid="{00000000-0005-0000-0000-0000ED570000}"/>
    <cellStyle name="Normal 261 2 3 5 2 2" xfId="22510" xr:uid="{00000000-0005-0000-0000-0000EE570000}"/>
    <cellStyle name="Normal 261 2 3 5 3" xfId="22511" xr:uid="{00000000-0005-0000-0000-0000EF570000}"/>
    <cellStyle name="Normal 261 2 3 6" xfId="22512" xr:uid="{00000000-0005-0000-0000-0000F0570000}"/>
    <cellStyle name="Normal 261 2 4" xfId="22513" xr:uid="{00000000-0005-0000-0000-0000F1570000}"/>
    <cellStyle name="Normal 261 2 4 2" xfId="22514" xr:uid="{00000000-0005-0000-0000-0000F2570000}"/>
    <cellStyle name="Normal 261 2 4 2 2" xfId="22515" xr:uid="{00000000-0005-0000-0000-0000F3570000}"/>
    <cellStyle name="Normal 261 2 4 3" xfId="22516" xr:uid="{00000000-0005-0000-0000-0000F4570000}"/>
    <cellStyle name="Normal 261 2 5" xfId="22517" xr:uid="{00000000-0005-0000-0000-0000F5570000}"/>
    <cellStyle name="Normal 261 2 5 2" xfId="22518" xr:uid="{00000000-0005-0000-0000-0000F6570000}"/>
    <cellStyle name="Normal 261 2 5 2 2" xfId="22519" xr:uid="{00000000-0005-0000-0000-0000F7570000}"/>
    <cellStyle name="Normal 261 2 5 3" xfId="22520" xr:uid="{00000000-0005-0000-0000-0000F8570000}"/>
    <cellStyle name="Normal 261 2 6" xfId="22521" xr:uid="{00000000-0005-0000-0000-0000F9570000}"/>
    <cellStyle name="Normal 261 2 6 2" xfId="22522" xr:uid="{00000000-0005-0000-0000-0000FA570000}"/>
    <cellStyle name="Normal 261 2 6 2 2" xfId="22523" xr:uid="{00000000-0005-0000-0000-0000FB570000}"/>
    <cellStyle name="Normal 261 2 6 3" xfId="22524" xr:uid="{00000000-0005-0000-0000-0000FC570000}"/>
    <cellStyle name="Normal 261 2 7" xfId="22525" xr:uid="{00000000-0005-0000-0000-0000FD570000}"/>
    <cellStyle name="Normal 261 3" xfId="22526" xr:uid="{00000000-0005-0000-0000-0000FE570000}"/>
    <cellStyle name="Normal 261 3 2" xfId="22527" xr:uid="{00000000-0005-0000-0000-0000FF570000}"/>
    <cellStyle name="Normal 261 3 2 2" xfId="22528" xr:uid="{00000000-0005-0000-0000-000000580000}"/>
    <cellStyle name="Normal 261 3 3" xfId="22529" xr:uid="{00000000-0005-0000-0000-000001580000}"/>
    <cellStyle name="Normal 261 3 3 2" xfId="22530" xr:uid="{00000000-0005-0000-0000-000002580000}"/>
    <cellStyle name="Normal 261 3 3 2 2" xfId="22531" xr:uid="{00000000-0005-0000-0000-000003580000}"/>
    <cellStyle name="Normal 261 3 3 3" xfId="22532" xr:uid="{00000000-0005-0000-0000-000004580000}"/>
    <cellStyle name="Normal 261 3 4" xfId="22533" xr:uid="{00000000-0005-0000-0000-000005580000}"/>
    <cellStyle name="Normal 261 3 4 2" xfId="22534" xr:uid="{00000000-0005-0000-0000-000006580000}"/>
    <cellStyle name="Normal 261 3 4 2 2" xfId="22535" xr:uid="{00000000-0005-0000-0000-000007580000}"/>
    <cellStyle name="Normal 261 3 4 3" xfId="22536" xr:uid="{00000000-0005-0000-0000-000008580000}"/>
    <cellStyle name="Normal 261 3 5" xfId="22537" xr:uid="{00000000-0005-0000-0000-000009580000}"/>
    <cellStyle name="Normal 261 4" xfId="22538" xr:uid="{00000000-0005-0000-0000-00000A580000}"/>
    <cellStyle name="Normal 261 4 2" xfId="22539" xr:uid="{00000000-0005-0000-0000-00000B580000}"/>
    <cellStyle name="Normal 261 4 2 2" xfId="22540" xr:uid="{00000000-0005-0000-0000-00000C580000}"/>
    <cellStyle name="Normal 261 4 2 2 2" xfId="22541" xr:uid="{00000000-0005-0000-0000-00000D580000}"/>
    <cellStyle name="Normal 261 4 2 3" xfId="22542" xr:uid="{00000000-0005-0000-0000-00000E580000}"/>
    <cellStyle name="Normal 261 4 2 3 2" xfId="22543" xr:uid="{00000000-0005-0000-0000-00000F580000}"/>
    <cellStyle name="Normal 261 4 2 3 2 2" xfId="22544" xr:uid="{00000000-0005-0000-0000-000010580000}"/>
    <cellStyle name="Normal 261 4 2 3 3" xfId="22545" xr:uid="{00000000-0005-0000-0000-000011580000}"/>
    <cellStyle name="Normal 261 4 2 4" xfId="22546" xr:uid="{00000000-0005-0000-0000-000012580000}"/>
    <cellStyle name="Normal 261 4 3" xfId="22547" xr:uid="{00000000-0005-0000-0000-000013580000}"/>
    <cellStyle name="Normal 261 4 3 2" xfId="22548" xr:uid="{00000000-0005-0000-0000-000014580000}"/>
    <cellStyle name="Normal 261 4 3 2 2" xfId="22549" xr:uid="{00000000-0005-0000-0000-000015580000}"/>
    <cellStyle name="Normal 261 4 3 3" xfId="22550" xr:uid="{00000000-0005-0000-0000-000016580000}"/>
    <cellStyle name="Normal 261 4 4" xfId="22551" xr:uid="{00000000-0005-0000-0000-000017580000}"/>
    <cellStyle name="Normal 261 4 4 2" xfId="22552" xr:uid="{00000000-0005-0000-0000-000018580000}"/>
    <cellStyle name="Normal 261 4 4 2 2" xfId="22553" xr:uid="{00000000-0005-0000-0000-000019580000}"/>
    <cellStyle name="Normal 261 4 4 3" xfId="22554" xr:uid="{00000000-0005-0000-0000-00001A580000}"/>
    <cellStyle name="Normal 261 4 5" xfId="22555" xr:uid="{00000000-0005-0000-0000-00001B580000}"/>
    <cellStyle name="Normal 261 4 5 2" xfId="22556" xr:uid="{00000000-0005-0000-0000-00001C580000}"/>
    <cellStyle name="Normal 261 4 5 2 2" xfId="22557" xr:uid="{00000000-0005-0000-0000-00001D580000}"/>
    <cellStyle name="Normal 261 4 5 3" xfId="22558" xr:uid="{00000000-0005-0000-0000-00001E580000}"/>
    <cellStyle name="Normal 261 4 6" xfId="22559" xr:uid="{00000000-0005-0000-0000-00001F580000}"/>
    <cellStyle name="Normal 261 5" xfId="22560" xr:uid="{00000000-0005-0000-0000-000020580000}"/>
    <cellStyle name="Normal 261 5 2" xfId="22561" xr:uid="{00000000-0005-0000-0000-000021580000}"/>
    <cellStyle name="Normal 261 5 2 2" xfId="22562" xr:uid="{00000000-0005-0000-0000-000022580000}"/>
    <cellStyle name="Normal 261 5 3" xfId="22563" xr:uid="{00000000-0005-0000-0000-000023580000}"/>
    <cellStyle name="Normal 261 6" xfId="22564" xr:uid="{00000000-0005-0000-0000-000024580000}"/>
    <cellStyle name="Normal 261 6 2" xfId="22565" xr:uid="{00000000-0005-0000-0000-000025580000}"/>
    <cellStyle name="Normal 261 6 2 2" xfId="22566" xr:uid="{00000000-0005-0000-0000-000026580000}"/>
    <cellStyle name="Normal 261 6 3" xfId="22567" xr:uid="{00000000-0005-0000-0000-000027580000}"/>
    <cellStyle name="Normal 261 7" xfId="22568" xr:uid="{00000000-0005-0000-0000-000028580000}"/>
    <cellStyle name="Normal 261 7 2" xfId="22569" xr:uid="{00000000-0005-0000-0000-000029580000}"/>
    <cellStyle name="Normal 261 7 2 2" xfId="22570" xr:uid="{00000000-0005-0000-0000-00002A580000}"/>
    <cellStyle name="Normal 261 7 3" xfId="22571" xr:uid="{00000000-0005-0000-0000-00002B580000}"/>
    <cellStyle name="Normal 261 8" xfId="22572" xr:uid="{00000000-0005-0000-0000-00002C580000}"/>
    <cellStyle name="Normal 262" xfId="22573" xr:uid="{00000000-0005-0000-0000-00002D580000}"/>
    <cellStyle name="Normal 262 2" xfId="22574" xr:uid="{00000000-0005-0000-0000-00002E580000}"/>
    <cellStyle name="Normal 262 2 2" xfId="22575" xr:uid="{00000000-0005-0000-0000-00002F580000}"/>
    <cellStyle name="Normal 262 2 2 2" xfId="22576" xr:uid="{00000000-0005-0000-0000-000030580000}"/>
    <cellStyle name="Normal 262 2 2 2 2" xfId="22577" xr:uid="{00000000-0005-0000-0000-000031580000}"/>
    <cellStyle name="Normal 262 2 2 3" xfId="22578" xr:uid="{00000000-0005-0000-0000-000032580000}"/>
    <cellStyle name="Normal 262 2 2 3 2" xfId="22579" xr:uid="{00000000-0005-0000-0000-000033580000}"/>
    <cellStyle name="Normal 262 2 2 3 2 2" xfId="22580" xr:uid="{00000000-0005-0000-0000-000034580000}"/>
    <cellStyle name="Normal 262 2 2 3 3" xfId="22581" xr:uid="{00000000-0005-0000-0000-000035580000}"/>
    <cellStyle name="Normal 262 2 2 4" xfId="22582" xr:uid="{00000000-0005-0000-0000-000036580000}"/>
    <cellStyle name="Normal 262 2 2 4 2" xfId="22583" xr:uid="{00000000-0005-0000-0000-000037580000}"/>
    <cellStyle name="Normal 262 2 2 4 2 2" xfId="22584" xr:uid="{00000000-0005-0000-0000-000038580000}"/>
    <cellStyle name="Normal 262 2 2 4 3" xfId="22585" xr:uid="{00000000-0005-0000-0000-000039580000}"/>
    <cellStyle name="Normal 262 2 2 5" xfId="22586" xr:uid="{00000000-0005-0000-0000-00003A580000}"/>
    <cellStyle name="Normal 262 2 3" xfId="22587" xr:uid="{00000000-0005-0000-0000-00003B580000}"/>
    <cellStyle name="Normal 262 2 3 2" xfId="22588" xr:uid="{00000000-0005-0000-0000-00003C580000}"/>
    <cellStyle name="Normal 262 2 3 2 2" xfId="22589" xr:uid="{00000000-0005-0000-0000-00003D580000}"/>
    <cellStyle name="Normal 262 2 3 2 2 2" xfId="22590" xr:uid="{00000000-0005-0000-0000-00003E580000}"/>
    <cellStyle name="Normal 262 2 3 2 3" xfId="22591" xr:uid="{00000000-0005-0000-0000-00003F580000}"/>
    <cellStyle name="Normal 262 2 3 2 3 2" xfId="22592" xr:uid="{00000000-0005-0000-0000-000040580000}"/>
    <cellStyle name="Normal 262 2 3 2 3 2 2" xfId="22593" xr:uid="{00000000-0005-0000-0000-000041580000}"/>
    <cellStyle name="Normal 262 2 3 2 3 3" xfId="22594" xr:uid="{00000000-0005-0000-0000-000042580000}"/>
    <cellStyle name="Normal 262 2 3 2 4" xfId="22595" xr:uid="{00000000-0005-0000-0000-000043580000}"/>
    <cellStyle name="Normal 262 2 3 3" xfId="22596" xr:uid="{00000000-0005-0000-0000-000044580000}"/>
    <cellStyle name="Normal 262 2 3 3 2" xfId="22597" xr:uid="{00000000-0005-0000-0000-000045580000}"/>
    <cellStyle name="Normal 262 2 3 3 2 2" xfId="22598" xr:uid="{00000000-0005-0000-0000-000046580000}"/>
    <cellStyle name="Normal 262 2 3 3 3" xfId="22599" xr:uid="{00000000-0005-0000-0000-000047580000}"/>
    <cellStyle name="Normal 262 2 3 4" xfId="22600" xr:uid="{00000000-0005-0000-0000-000048580000}"/>
    <cellStyle name="Normal 262 2 3 4 2" xfId="22601" xr:uid="{00000000-0005-0000-0000-000049580000}"/>
    <cellStyle name="Normal 262 2 3 4 2 2" xfId="22602" xr:uid="{00000000-0005-0000-0000-00004A580000}"/>
    <cellStyle name="Normal 262 2 3 4 3" xfId="22603" xr:uid="{00000000-0005-0000-0000-00004B580000}"/>
    <cellStyle name="Normal 262 2 3 5" xfId="22604" xr:uid="{00000000-0005-0000-0000-00004C580000}"/>
    <cellStyle name="Normal 262 2 3 5 2" xfId="22605" xr:uid="{00000000-0005-0000-0000-00004D580000}"/>
    <cellStyle name="Normal 262 2 3 5 2 2" xfId="22606" xr:uid="{00000000-0005-0000-0000-00004E580000}"/>
    <cellStyle name="Normal 262 2 3 5 3" xfId="22607" xr:uid="{00000000-0005-0000-0000-00004F580000}"/>
    <cellStyle name="Normal 262 2 3 6" xfId="22608" xr:uid="{00000000-0005-0000-0000-000050580000}"/>
    <cellStyle name="Normal 262 2 4" xfId="22609" xr:uid="{00000000-0005-0000-0000-000051580000}"/>
    <cellStyle name="Normal 262 2 4 2" xfId="22610" xr:uid="{00000000-0005-0000-0000-000052580000}"/>
    <cellStyle name="Normal 262 2 4 2 2" xfId="22611" xr:uid="{00000000-0005-0000-0000-000053580000}"/>
    <cellStyle name="Normal 262 2 4 3" xfId="22612" xr:uid="{00000000-0005-0000-0000-000054580000}"/>
    <cellStyle name="Normal 262 2 5" xfId="22613" xr:uid="{00000000-0005-0000-0000-000055580000}"/>
    <cellStyle name="Normal 262 2 5 2" xfId="22614" xr:uid="{00000000-0005-0000-0000-000056580000}"/>
    <cellStyle name="Normal 262 2 5 2 2" xfId="22615" xr:uid="{00000000-0005-0000-0000-000057580000}"/>
    <cellStyle name="Normal 262 2 5 3" xfId="22616" xr:uid="{00000000-0005-0000-0000-000058580000}"/>
    <cellStyle name="Normal 262 2 6" xfId="22617" xr:uid="{00000000-0005-0000-0000-000059580000}"/>
    <cellStyle name="Normal 262 2 6 2" xfId="22618" xr:uid="{00000000-0005-0000-0000-00005A580000}"/>
    <cellStyle name="Normal 262 2 6 2 2" xfId="22619" xr:uid="{00000000-0005-0000-0000-00005B580000}"/>
    <cellStyle name="Normal 262 2 6 3" xfId="22620" xr:uid="{00000000-0005-0000-0000-00005C580000}"/>
    <cellStyle name="Normal 262 2 7" xfId="22621" xr:uid="{00000000-0005-0000-0000-00005D580000}"/>
    <cellStyle name="Normal 262 3" xfId="22622" xr:uid="{00000000-0005-0000-0000-00005E580000}"/>
    <cellStyle name="Normal 262 3 2" xfId="22623" xr:uid="{00000000-0005-0000-0000-00005F580000}"/>
    <cellStyle name="Normal 262 3 2 2" xfId="22624" xr:uid="{00000000-0005-0000-0000-000060580000}"/>
    <cellStyle name="Normal 262 3 3" xfId="22625" xr:uid="{00000000-0005-0000-0000-000061580000}"/>
    <cellStyle name="Normal 262 3 3 2" xfId="22626" xr:uid="{00000000-0005-0000-0000-000062580000}"/>
    <cellStyle name="Normal 262 3 3 2 2" xfId="22627" xr:uid="{00000000-0005-0000-0000-000063580000}"/>
    <cellStyle name="Normal 262 3 3 3" xfId="22628" xr:uid="{00000000-0005-0000-0000-000064580000}"/>
    <cellStyle name="Normal 262 3 4" xfId="22629" xr:uid="{00000000-0005-0000-0000-000065580000}"/>
    <cellStyle name="Normal 262 3 4 2" xfId="22630" xr:uid="{00000000-0005-0000-0000-000066580000}"/>
    <cellStyle name="Normal 262 3 4 2 2" xfId="22631" xr:uid="{00000000-0005-0000-0000-000067580000}"/>
    <cellStyle name="Normal 262 3 4 3" xfId="22632" xr:uid="{00000000-0005-0000-0000-000068580000}"/>
    <cellStyle name="Normal 262 3 5" xfId="22633" xr:uid="{00000000-0005-0000-0000-000069580000}"/>
    <cellStyle name="Normal 262 4" xfId="22634" xr:uid="{00000000-0005-0000-0000-00006A580000}"/>
    <cellStyle name="Normal 262 4 2" xfId="22635" xr:uid="{00000000-0005-0000-0000-00006B580000}"/>
    <cellStyle name="Normal 262 4 2 2" xfId="22636" xr:uid="{00000000-0005-0000-0000-00006C580000}"/>
    <cellStyle name="Normal 262 4 2 2 2" xfId="22637" xr:uid="{00000000-0005-0000-0000-00006D580000}"/>
    <cellStyle name="Normal 262 4 2 3" xfId="22638" xr:uid="{00000000-0005-0000-0000-00006E580000}"/>
    <cellStyle name="Normal 262 4 2 3 2" xfId="22639" xr:uid="{00000000-0005-0000-0000-00006F580000}"/>
    <cellStyle name="Normal 262 4 2 3 2 2" xfId="22640" xr:uid="{00000000-0005-0000-0000-000070580000}"/>
    <cellStyle name="Normal 262 4 2 3 3" xfId="22641" xr:uid="{00000000-0005-0000-0000-000071580000}"/>
    <cellStyle name="Normal 262 4 2 4" xfId="22642" xr:uid="{00000000-0005-0000-0000-000072580000}"/>
    <cellStyle name="Normal 262 4 3" xfId="22643" xr:uid="{00000000-0005-0000-0000-000073580000}"/>
    <cellStyle name="Normal 262 4 3 2" xfId="22644" xr:uid="{00000000-0005-0000-0000-000074580000}"/>
    <cellStyle name="Normal 262 4 3 2 2" xfId="22645" xr:uid="{00000000-0005-0000-0000-000075580000}"/>
    <cellStyle name="Normal 262 4 3 3" xfId="22646" xr:uid="{00000000-0005-0000-0000-000076580000}"/>
    <cellStyle name="Normal 262 4 4" xfId="22647" xr:uid="{00000000-0005-0000-0000-000077580000}"/>
    <cellStyle name="Normal 262 4 4 2" xfId="22648" xr:uid="{00000000-0005-0000-0000-000078580000}"/>
    <cellStyle name="Normal 262 4 4 2 2" xfId="22649" xr:uid="{00000000-0005-0000-0000-000079580000}"/>
    <cellStyle name="Normal 262 4 4 3" xfId="22650" xr:uid="{00000000-0005-0000-0000-00007A580000}"/>
    <cellStyle name="Normal 262 4 5" xfId="22651" xr:uid="{00000000-0005-0000-0000-00007B580000}"/>
    <cellStyle name="Normal 262 4 5 2" xfId="22652" xr:uid="{00000000-0005-0000-0000-00007C580000}"/>
    <cellStyle name="Normal 262 4 5 2 2" xfId="22653" xr:uid="{00000000-0005-0000-0000-00007D580000}"/>
    <cellStyle name="Normal 262 4 5 3" xfId="22654" xr:uid="{00000000-0005-0000-0000-00007E580000}"/>
    <cellStyle name="Normal 262 4 6" xfId="22655" xr:uid="{00000000-0005-0000-0000-00007F580000}"/>
    <cellStyle name="Normal 262 5" xfId="22656" xr:uid="{00000000-0005-0000-0000-000080580000}"/>
    <cellStyle name="Normal 262 5 2" xfId="22657" xr:uid="{00000000-0005-0000-0000-000081580000}"/>
    <cellStyle name="Normal 262 5 2 2" xfId="22658" xr:uid="{00000000-0005-0000-0000-000082580000}"/>
    <cellStyle name="Normal 262 5 3" xfId="22659" xr:uid="{00000000-0005-0000-0000-000083580000}"/>
    <cellStyle name="Normal 262 6" xfId="22660" xr:uid="{00000000-0005-0000-0000-000084580000}"/>
    <cellStyle name="Normal 262 6 2" xfId="22661" xr:uid="{00000000-0005-0000-0000-000085580000}"/>
    <cellStyle name="Normal 262 6 2 2" xfId="22662" xr:uid="{00000000-0005-0000-0000-000086580000}"/>
    <cellStyle name="Normal 262 6 3" xfId="22663" xr:uid="{00000000-0005-0000-0000-000087580000}"/>
    <cellStyle name="Normal 262 7" xfId="22664" xr:uid="{00000000-0005-0000-0000-000088580000}"/>
    <cellStyle name="Normal 262 7 2" xfId="22665" xr:uid="{00000000-0005-0000-0000-000089580000}"/>
    <cellStyle name="Normal 262 7 2 2" xfId="22666" xr:uid="{00000000-0005-0000-0000-00008A580000}"/>
    <cellStyle name="Normal 262 7 3" xfId="22667" xr:uid="{00000000-0005-0000-0000-00008B580000}"/>
    <cellStyle name="Normal 262 8" xfId="22668" xr:uid="{00000000-0005-0000-0000-00008C580000}"/>
    <cellStyle name="Normal 263" xfId="22669" xr:uid="{00000000-0005-0000-0000-00008D580000}"/>
    <cellStyle name="Normal 263 2" xfId="22670" xr:uid="{00000000-0005-0000-0000-00008E580000}"/>
    <cellStyle name="Normal 263 2 2" xfId="22671" xr:uid="{00000000-0005-0000-0000-00008F580000}"/>
    <cellStyle name="Normal 263 2 2 2" xfId="22672" xr:uid="{00000000-0005-0000-0000-000090580000}"/>
    <cellStyle name="Normal 263 2 2 2 2" xfId="22673" xr:uid="{00000000-0005-0000-0000-000091580000}"/>
    <cellStyle name="Normal 263 2 2 3" xfId="22674" xr:uid="{00000000-0005-0000-0000-000092580000}"/>
    <cellStyle name="Normal 263 2 2 3 2" xfId="22675" xr:uid="{00000000-0005-0000-0000-000093580000}"/>
    <cellStyle name="Normal 263 2 2 3 2 2" xfId="22676" xr:uid="{00000000-0005-0000-0000-000094580000}"/>
    <cellStyle name="Normal 263 2 2 3 3" xfId="22677" xr:uid="{00000000-0005-0000-0000-000095580000}"/>
    <cellStyle name="Normal 263 2 2 4" xfId="22678" xr:uid="{00000000-0005-0000-0000-000096580000}"/>
    <cellStyle name="Normal 263 2 2 4 2" xfId="22679" xr:uid="{00000000-0005-0000-0000-000097580000}"/>
    <cellStyle name="Normal 263 2 2 4 2 2" xfId="22680" xr:uid="{00000000-0005-0000-0000-000098580000}"/>
    <cellStyle name="Normal 263 2 2 4 3" xfId="22681" xr:uid="{00000000-0005-0000-0000-000099580000}"/>
    <cellStyle name="Normal 263 2 2 5" xfId="22682" xr:uid="{00000000-0005-0000-0000-00009A580000}"/>
    <cellStyle name="Normal 263 2 3" xfId="22683" xr:uid="{00000000-0005-0000-0000-00009B580000}"/>
    <cellStyle name="Normal 263 2 3 2" xfId="22684" xr:uid="{00000000-0005-0000-0000-00009C580000}"/>
    <cellStyle name="Normal 263 2 3 2 2" xfId="22685" xr:uid="{00000000-0005-0000-0000-00009D580000}"/>
    <cellStyle name="Normal 263 2 3 2 2 2" xfId="22686" xr:uid="{00000000-0005-0000-0000-00009E580000}"/>
    <cellStyle name="Normal 263 2 3 2 3" xfId="22687" xr:uid="{00000000-0005-0000-0000-00009F580000}"/>
    <cellStyle name="Normal 263 2 3 2 3 2" xfId="22688" xr:uid="{00000000-0005-0000-0000-0000A0580000}"/>
    <cellStyle name="Normal 263 2 3 2 3 2 2" xfId="22689" xr:uid="{00000000-0005-0000-0000-0000A1580000}"/>
    <cellStyle name="Normal 263 2 3 2 3 3" xfId="22690" xr:uid="{00000000-0005-0000-0000-0000A2580000}"/>
    <cellStyle name="Normal 263 2 3 2 4" xfId="22691" xr:uid="{00000000-0005-0000-0000-0000A3580000}"/>
    <cellStyle name="Normal 263 2 3 3" xfId="22692" xr:uid="{00000000-0005-0000-0000-0000A4580000}"/>
    <cellStyle name="Normal 263 2 3 3 2" xfId="22693" xr:uid="{00000000-0005-0000-0000-0000A5580000}"/>
    <cellStyle name="Normal 263 2 3 3 2 2" xfId="22694" xr:uid="{00000000-0005-0000-0000-0000A6580000}"/>
    <cellStyle name="Normal 263 2 3 3 3" xfId="22695" xr:uid="{00000000-0005-0000-0000-0000A7580000}"/>
    <cellStyle name="Normal 263 2 3 4" xfId="22696" xr:uid="{00000000-0005-0000-0000-0000A8580000}"/>
    <cellStyle name="Normal 263 2 3 4 2" xfId="22697" xr:uid="{00000000-0005-0000-0000-0000A9580000}"/>
    <cellStyle name="Normal 263 2 3 4 2 2" xfId="22698" xr:uid="{00000000-0005-0000-0000-0000AA580000}"/>
    <cellStyle name="Normal 263 2 3 4 3" xfId="22699" xr:uid="{00000000-0005-0000-0000-0000AB580000}"/>
    <cellStyle name="Normal 263 2 3 5" xfId="22700" xr:uid="{00000000-0005-0000-0000-0000AC580000}"/>
    <cellStyle name="Normal 263 2 3 5 2" xfId="22701" xr:uid="{00000000-0005-0000-0000-0000AD580000}"/>
    <cellStyle name="Normal 263 2 3 5 2 2" xfId="22702" xr:uid="{00000000-0005-0000-0000-0000AE580000}"/>
    <cellStyle name="Normal 263 2 3 5 3" xfId="22703" xr:uid="{00000000-0005-0000-0000-0000AF580000}"/>
    <cellStyle name="Normal 263 2 3 6" xfId="22704" xr:uid="{00000000-0005-0000-0000-0000B0580000}"/>
    <cellStyle name="Normal 263 2 4" xfId="22705" xr:uid="{00000000-0005-0000-0000-0000B1580000}"/>
    <cellStyle name="Normal 263 2 4 2" xfId="22706" xr:uid="{00000000-0005-0000-0000-0000B2580000}"/>
    <cellStyle name="Normal 263 2 4 2 2" xfId="22707" xr:uid="{00000000-0005-0000-0000-0000B3580000}"/>
    <cellStyle name="Normal 263 2 4 3" xfId="22708" xr:uid="{00000000-0005-0000-0000-0000B4580000}"/>
    <cellStyle name="Normal 263 2 5" xfId="22709" xr:uid="{00000000-0005-0000-0000-0000B5580000}"/>
    <cellStyle name="Normal 263 2 5 2" xfId="22710" xr:uid="{00000000-0005-0000-0000-0000B6580000}"/>
    <cellStyle name="Normal 263 2 5 2 2" xfId="22711" xr:uid="{00000000-0005-0000-0000-0000B7580000}"/>
    <cellStyle name="Normal 263 2 5 3" xfId="22712" xr:uid="{00000000-0005-0000-0000-0000B8580000}"/>
    <cellStyle name="Normal 263 2 6" xfId="22713" xr:uid="{00000000-0005-0000-0000-0000B9580000}"/>
    <cellStyle name="Normal 263 2 6 2" xfId="22714" xr:uid="{00000000-0005-0000-0000-0000BA580000}"/>
    <cellStyle name="Normal 263 2 6 2 2" xfId="22715" xr:uid="{00000000-0005-0000-0000-0000BB580000}"/>
    <cellStyle name="Normal 263 2 6 3" xfId="22716" xr:uid="{00000000-0005-0000-0000-0000BC580000}"/>
    <cellStyle name="Normal 263 2 7" xfId="22717" xr:uid="{00000000-0005-0000-0000-0000BD580000}"/>
    <cellStyle name="Normal 263 3" xfId="22718" xr:uid="{00000000-0005-0000-0000-0000BE580000}"/>
    <cellStyle name="Normal 263 3 2" xfId="22719" xr:uid="{00000000-0005-0000-0000-0000BF580000}"/>
    <cellStyle name="Normal 263 3 2 2" xfId="22720" xr:uid="{00000000-0005-0000-0000-0000C0580000}"/>
    <cellStyle name="Normal 263 3 3" xfId="22721" xr:uid="{00000000-0005-0000-0000-0000C1580000}"/>
    <cellStyle name="Normal 263 3 3 2" xfId="22722" xr:uid="{00000000-0005-0000-0000-0000C2580000}"/>
    <cellStyle name="Normal 263 3 3 2 2" xfId="22723" xr:uid="{00000000-0005-0000-0000-0000C3580000}"/>
    <cellStyle name="Normal 263 3 3 3" xfId="22724" xr:uid="{00000000-0005-0000-0000-0000C4580000}"/>
    <cellStyle name="Normal 263 3 4" xfId="22725" xr:uid="{00000000-0005-0000-0000-0000C5580000}"/>
    <cellStyle name="Normal 263 3 4 2" xfId="22726" xr:uid="{00000000-0005-0000-0000-0000C6580000}"/>
    <cellStyle name="Normal 263 3 4 2 2" xfId="22727" xr:uid="{00000000-0005-0000-0000-0000C7580000}"/>
    <cellStyle name="Normal 263 3 4 3" xfId="22728" xr:uid="{00000000-0005-0000-0000-0000C8580000}"/>
    <cellStyle name="Normal 263 3 5" xfId="22729" xr:uid="{00000000-0005-0000-0000-0000C9580000}"/>
    <cellStyle name="Normal 263 4" xfId="22730" xr:uid="{00000000-0005-0000-0000-0000CA580000}"/>
    <cellStyle name="Normal 263 4 2" xfId="22731" xr:uid="{00000000-0005-0000-0000-0000CB580000}"/>
    <cellStyle name="Normal 263 4 2 2" xfId="22732" xr:uid="{00000000-0005-0000-0000-0000CC580000}"/>
    <cellStyle name="Normal 263 4 2 2 2" xfId="22733" xr:uid="{00000000-0005-0000-0000-0000CD580000}"/>
    <cellStyle name="Normal 263 4 2 3" xfId="22734" xr:uid="{00000000-0005-0000-0000-0000CE580000}"/>
    <cellStyle name="Normal 263 4 2 3 2" xfId="22735" xr:uid="{00000000-0005-0000-0000-0000CF580000}"/>
    <cellStyle name="Normal 263 4 2 3 2 2" xfId="22736" xr:uid="{00000000-0005-0000-0000-0000D0580000}"/>
    <cellStyle name="Normal 263 4 2 3 3" xfId="22737" xr:uid="{00000000-0005-0000-0000-0000D1580000}"/>
    <cellStyle name="Normal 263 4 2 4" xfId="22738" xr:uid="{00000000-0005-0000-0000-0000D2580000}"/>
    <cellStyle name="Normal 263 4 3" xfId="22739" xr:uid="{00000000-0005-0000-0000-0000D3580000}"/>
    <cellStyle name="Normal 263 4 3 2" xfId="22740" xr:uid="{00000000-0005-0000-0000-0000D4580000}"/>
    <cellStyle name="Normal 263 4 3 2 2" xfId="22741" xr:uid="{00000000-0005-0000-0000-0000D5580000}"/>
    <cellStyle name="Normal 263 4 3 3" xfId="22742" xr:uid="{00000000-0005-0000-0000-0000D6580000}"/>
    <cellStyle name="Normal 263 4 4" xfId="22743" xr:uid="{00000000-0005-0000-0000-0000D7580000}"/>
    <cellStyle name="Normal 263 4 4 2" xfId="22744" xr:uid="{00000000-0005-0000-0000-0000D8580000}"/>
    <cellStyle name="Normal 263 4 4 2 2" xfId="22745" xr:uid="{00000000-0005-0000-0000-0000D9580000}"/>
    <cellStyle name="Normal 263 4 4 3" xfId="22746" xr:uid="{00000000-0005-0000-0000-0000DA580000}"/>
    <cellStyle name="Normal 263 4 5" xfId="22747" xr:uid="{00000000-0005-0000-0000-0000DB580000}"/>
    <cellStyle name="Normal 263 4 5 2" xfId="22748" xr:uid="{00000000-0005-0000-0000-0000DC580000}"/>
    <cellStyle name="Normal 263 4 5 2 2" xfId="22749" xr:uid="{00000000-0005-0000-0000-0000DD580000}"/>
    <cellStyle name="Normal 263 4 5 3" xfId="22750" xr:uid="{00000000-0005-0000-0000-0000DE580000}"/>
    <cellStyle name="Normal 263 4 6" xfId="22751" xr:uid="{00000000-0005-0000-0000-0000DF580000}"/>
    <cellStyle name="Normal 263 5" xfId="22752" xr:uid="{00000000-0005-0000-0000-0000E0580000}"/>
    <cellStyle name="Normal 263 5 2" xfId="22753" xr:uid="{00000000-0005-0000-0000-0000E1580000}"/>
    <cellStyle name="Normal 263 5 2 2" xfId="22754" xr:uid="{00000000-0005-0000-0000-0000E2580000}"/>
    <cellStyle name="Normal 263 5 3" xfId="22755" xr:uid="{00000000-0005-0000-0000-0000E3580000}"/>
    <cellStyle name="Normal 263 6" xfId="22756" xr:uid="{00000000-0005-0000-0000-0000E4580000}"/>
    <cellStyle name="Normal 263 6 2" xfId="22757" xr:uid="{00000000-0005-0000-0000-0000E5580000}"/>
    <cellStyle name="Normal 263 6 2 2" xfId="22758" xr:uid="{00000000-0005-0000-0000-0000E6580000}"/>
    <cellStyle name="Normal 263 6 3" xfId="22759" xr:uid="{00000000-0005-0000-0000-0000E7580000}"/>
    <cellStyle name="Normal 263 7" xfId="22760" xr:uid="{00000000-0005-0000-0000-0000E8580000}"/>
    <cellStyle name="Normal 263 7 2" xfId="22761" xr:uid="{00000000-0005-0000-0000-0000E9580000}"/>
    <cellStyle name="Normal 263 7 2 2" xfId="22762" xr:uid="{00000000-0005-0000-0000-0000EA580000}"/>
    <cellStyle name="Normal 263 7 3" xfId="22763" xr:uid="{00000000-0005-0000-0000-0000EB580000}"/>
    <cellStyle name="Normal 263 8" xfId="22764" xr:uid="{00000000-0005-0000-0000-0000EC580000}"/>
    <cellStyle name="Normal 264" xfId="22765" xr:uid="{00000000-0005-0000-0000-0000ED580000}"/>
    <cellStyle name="Normal 264 2" xfId="22766" xr:uid="{00000000-0005-0000-0000-0000EE580000}"/>
    <cellStyle name="Normal 264 2 2" xfId="22767" xr:uid="{00000000-0005-0000-0000-0000EF580000}"/>
    <cellStyle name="Normal 264 2 2 2" xfId="22768" xr:uid="{00000000-0005-0000-0000-0000F0580000}"/>
    <cellStyle name="Normal 264 2 3" xfId="22769" xr:uid="{00000000-0005-0000-0000-0000F1580000}"/>
    <cellStyle name="Normal 264 2 3 2" xfId="22770" xr:uid="{00000000-0005-0000-0000-0000F2580000}"/>
    <cellStyle name="Normal 264 2 3 2 2" xfId="22771" xr:uid="{00000000-0005-0000-0000-0000F3580000}"/>
    <cellStyle name="Normal 264 2 3 3" xfId="22772" xr:uid="{00000000-0005-0000-0000-0000F4580000}"/>
    <cellStyle name="Normal 264 2 4" xfId="22773" xr:uid="{00000000-0005-0000-0000-0000F5580000}"/>
    <cellStyle name="Normal 264 2 4 2" xfId="22774" xr:uid="{00000000-0005-0000-0000-0000F6580000}"/>
    <cellStyle name="Normal 264 2 4 2 2" xfId="22775" xr:uid="{00000000-0005-0000-0000-0000F7580000}"/>
    <cellStyle name="Normal 264 2 4 3" xfId="22776" xr:uid="{00000000-0005-0000-0000-0000F8580000}"/>
    <cellStyle name="Normal 264 2 5" xfId="22777" xr:uid="{00000000-0005-0000-0000-0000F9580000}"/>
    <cellStyle name="Normal 264 3" xfId="22778" xr:uid="{00000000-0005-0000-0000-0000FA580000}"/>
    <cellStyle name="Normal 264 3 2" xfId="22779" xr:uid="{00000000-0005-0000-0000-0000FB580000}"/>
    <cellStyle name="Normal 264 3 2 2" xfId="22780" xr:uid="{00000000-0005-0000-0000-0000FC580000}"/>
    <cellStyle name="Normal 264 3 2 2 2" xfId="22781" xr:uid="{00000000-0005-0000-0000-0000FD580000}"/>
    <cellStyle name="Normal 264 3 2 3" xfId="22782" xr:uid="{00000000-0005-0000-0000-0000FE580000}"/>
    <cellStyle name="Normal 264 3 2 3 2" xfId="22783" xr:uid="{00000000-0005-0000-0000-0000FF580000}"/>
    <cellStyle name="Normal 264 3 2 3 2 2" xfId="22784" xr:uid="{00000000-0005-0000-0000-000000590000}"/>
    <cellStyle name="Normal 264 3 2 3 3" xfId="22785" xr:uid="{00000000-0005-0000-0000-000001590000}"/>
    <cellStyle name="Normal 264 3 2 4" xfId="22786" xr:uid="{00000000-0005-0000-0000-000002590000}"/>
    <cellStyle name="Normal 264 3 3" xfId="22787" xr:uid="{00000000-0005-0000-0000-000003590000}"/>
    <cellStyle name="Normal 264 3 3 2" xfId="22788" xr:uid="{00000000-0005-0000-0000-000004590000}"/>
    <cellStyle name="Normal 264 3 3 2 2" xfId="22789" xr:uid="{00000000-0005-0000-0000-000005590000}"/>
    <cellStyle name="Normal 264 3 3 3" xfId="22790" xr:uid="{00000000-0005-0000-0000-000006590000}"/>
    <cellStyle name="Normal 264 3 4" xfId="22791" xr:uid="{00000000-0005-0000-0000-000007590000}"/>
    <cellStyle name="Normal 264 3 4 2" xfId="22792" xr:uid="{00000000-0005-0000-0000-000008590000}"/>
    <cellStyle name="Normal 264 3 4 2 2" xfId="22793" xr:uid="{00000000-0005-0000-0000-000009590000}"/>
    <cellStyle name="Normal 264 3 4 3" xfId="22794" xr:uid="{00000000-0005-0000-0000-00000A590000}"/>
    <cellStyle name="Normal 264 3 5" xfId="22795" xr:uid="{00000000-0005-0000-0000-00000B590000}"/>
    <cellStyle name="Normal 264 3 5 2" xfId="22796" xr:uid="{00000000-0005-0000-0000-00000C590000}"/>
    <cellStyle name="Normal 264 3 5 2 2" xfId="22797" xr:uid="{00000000-0005-0000-0000-00000D590000}"/>
    <cellStyle name="Normal 264 3 5 3" xfId="22798" xr:uid="{00000000-0005-0000-0000-00000E590000}"/>
    <cellStyle name="Normal 264 3 6" xfId="22799" xr:uid="{00000000-0005-0000-0000-00000F590000}"/>
    <cellStyle name="Normal 264 4" xfId="22800" xr:uid="{00000000-0005-0000-0000-000010590000}"/>
    <cellStyle name="Normal 264 4 2" xfId="22801" xr:uid="{00000000-0005-0000-0000-000011590000}"/>
    <cellStyle name="Normal 264 4 2 2" xfId="22802" xr:uid="{00000000-0005-0000-0000-000012590000}"/>
    <cellStyle name="Normal 264 4 3" xfId="22803" xr:uid="{00000000-0005-0000-0000-000013590000}"/>
    <cellStyle name="Normal 264 5" xfId="22804" xr:uid="{00000000-0005-0000-0000-000014590000}"/>
    <cellStyle name="Normal 264 5 2" xfId="22805" xr:uid="{00000000-0005-0000-0000-000015590000}"/>
    <cellStyle name="Normal 264 5 2 2" xfId="22806" xr:uid="{00000000-0005-0000-0000-000016590000}"/>
    <cellStyle name="Normal 264 5 3" xfId="22807" xr:uid="{00000000-0005-0000-0000-000017590000}"/>
    <cellStyle name="Normal 264 6" xfId="22808" xr:uid="{00000000-0005-0000-0000-000018590000}"/>
    <cellStyle name="Normal 264 6 2" xfId="22809" xr:uid="{00000000-0005-0000-0000-000019590000}"/>
    <cellStyle name="Normal 264 6 2 2" xfId="22810" xr:uid="{00000000-0005-0000-0000-00001A590000}"/>
    <cellStyle name="Normal 264 6 3" xfId="22811" xr:uid="{00000000-0005-0000-0000-00001B590000}"/>
    <cellStyle name="Normal 264 7" xfId="22812" xr:uid="{00000000-0005-0000-0000-00001C590000}"/>
    <cellStyle name="Normal 265" xfId="22813" xr:uid="{00000000-0005-0000-0000-00001D590000}"/>
    <cellStyle name="Normal 265 2" xfId="22814" xr:uid="{00000000-0005-0000-0000-00001E590000}"/>
    <cellStyle name="Normal 265 2 2" xfId="22815" xr:uid="{00000000-0005-0000-0000-00001F590000}"/>
    <cellStyle name="Normal 265 2 2 2" xfId="22816" xr:uid="{00000000-0005-0000-0000-000020590000}"/>
    <cellStyle name="Normal 265 2 3" xfId="22817" xr:uid="{00000000-0005-0000-0000-000021590000}"/>
    <cellStyle name="Normal 265 2 3 2" xfId="22818" xr:uid="{00000000-0005-0000-0000-000022590000}"/>
    <cellStyle name="Normal 265 2 3 2 2" xfId="22819" xr:uid="{00000000-0005-0000-0000-000023590000}"/>
    <cellStyle name="Normal 265 2 3 3" xfId="22820" xr:uid="{00000000-0005-0000-0000-000024590000}"/>
    <cellStyle name="Normal 265 2 4" xfId="22821" xr:uid="{00000000-0005-0000-0000-000025590000}"/>
    <cellStyle name="Normal 265 2 4 2" xfId="22822" xr:uid="{00000000-0005-0000-0000-000026590000}"/>
    <cellStyle name="Normal 265 2 4 2 2" xfId="22823" xr:uid="{00000000-0005-0000-0000-000027590000}"/>
    <cellStyle name="Normal 265 2 4 3" xfId="22824" xr:uid="{00000000-0005-0000-0000-000028590000}"/>
    <cellStyle name="Normal 265 2 5" xfId="22825" xr:uid="{00000000-0005-0000-0000-000029590000}"/>
    <cellStyle name="Normal 265 3" xfId="22826" xr:uid="{00000000-0005-0000-0000-00002A590000}"/>
    <cellStyle name="Normal 265 3 2" xfId="22827" xr:uid="{00000000-0005-0000-0000-00002B590000}"/>
    <cellStyle name="Normal 265 3 2 2" xfId="22828" xr:uid="{00000000-0005-0000-0000-00002C590000}"/>
    <cellStyle name="Normal 265 3 2 2 2" xfId="22829" xr:uid="{00000000-0005-0000-0000-00002D590000}"/>
    <cellStyle name="Normal 265 3 2 3" xfId="22830" xr:uid="{00000000-0005-0000-0000-00002E590000}"/>
    <cellStyle name="Normal 265 3 2 3 2" xfId="22831" xr:uid="{00000000-0005-0000-0000-00002F590000}"/>
    <cellStyle name="Normal 265 3 2 3 2 2" xfId="22832" xr:uid="{00000000-0005-0000-0000-000030590000}"/>
    <cellStyle name="Normal 265 3 2 3 3" xfId="22833" xr:uid="{00000000-0005-0000-0000-000031590000}"/>
    <cellStyle name="Normal 265 3 2 4" xfId="22834" xr:uid="{00000000-0005-0000-0000-000032590000}"/>
    <cellStyle name="Normal 265 3 3" xfId="22835" xr:uid="{00000000-0005-0000-0000-000033590000}"/>
    <cellStyle name="Normal 265 3 3 2" xfId="22836" xr:uid="{00000000-0005-0000-0000-000034590000}"/>
    <cellStyle name="Normal 265 3 3 2 2" xfId="22837" xr:uid="{00000000-0005-0000-0000-000035590000}"/>
    <cellStyle name="Normal 265 3 3 3" xfId="22838" xr:uid="{00000000-0005-0000-0000-000036590000}"/>
    <cellStyle name="Normal 265 3 4" xfId="22839" xr:uid="{00000000-0005-0000-0000-000037590000}"/>
    <cellStyle name="Normal 265 3 4 2" xfId="22840" xr:uid="{00000000-0005-0000-0000-000038590000}"/>
    <cellStyle name="Normal 265 3 4 2 2" xfId="22841" xr:uid="{00000000-0005-0000-0000-000039590000}"/>
    <cellStyle name="Normal 265 3 4 3" xfId="22842" xr:uid="{00000000-0005-0000-0000-00003A590000}"/>
    <cellStyle name="Normal 265 3 5" xfId="22843" xr:uid="{00000000-0005-0000-0000-00003B590000}"/>
    <cellStyle name="Normal 265 3 5 2" xfId="22844" xr:uid="{00000000-0005-0000-0000-00003C590000}"/>
    <cellStyle name="Normal 265 3 5 2 2" xfId="22845" xr:uid="{00000000-0005-0000-0000-00003D590000}"/>
    <cellStyle name="Normal 265 3 5 3" xfId="22846" xr:uid="{00000000-0005-0000-0000-00003E590000}"/>
    <cellStyle name="Normal 265 3 6" xfId="22847" xr:uid="{00000000-0005-0000-0000-00003F590000}"/>
    <cellStyle name="Normal 265 4" xfId="22848" xr:uid="{00000000-0005-0000-0000-000040590000}"/>
    <cellStyle name="Normal 265 4 2" xfId="22849" xr:uid="{00000000-0005-0000-0000-000041590000}"/>
    <cellStyle name="Normal 265 4 2 2" xfId="22850" xr:uid="{00000000-0005-0000-0000-000042590000}"/>
    <cellStyle name="Normal 265 4 3" xfId="22851" xr:uid="{00000000-0005-0000-0000-000043590000}"/>
    <cellStyle name="Normal 265 5" xfId="22852" xr:uid="{00000000-0005-0000-0000-000044590000}"/>
    <cellStyle name="Normal 265 5 2" xfId="22853" xr:uid="{00000000-0005-0000-0000-000045590000}"/>
    <cellStyle name="Normal 265 5 2 2" xfId="22854" xr:uid="{00000000-0005-0000-0000-000046590000}"/>
    <cellStyle name="Normal 265 5 3" xfId="22855" xr:uid="{00000000-0005-0000-0000-000047590000}"/>
    <cellStyle name="Normal 265 6" xfId="22856" xr:uid="{00000000-0005-0000-0000-000048590000}"/>
    <cellStyle name="Normal 265 6 2" xfId="22857" xr:uid="{00000000-0005-0000-0000-000049590000}"/>
    <cellStyle name="Normal 265 6 2 2" xfId="22858" xr:uid="{00000000-0005-0000-0000-00004A590000}"/>
    <cellStyle name="Normal 265 6 3" xfId="22859" xr:uid="{00000000-0005-0000-0000-00004B590000}"/>
    <cellStyle name="Normal 265 7" xfId="22860" xr:uid="{00000000-0005-0000-0000-00004C590000}"/>
    <cellStyle name="Normal 266" xfId="22861" xr:uid="{00000000-0005-0000-0000-00004D590000}"/>
    <cellStyle name="Normal 266 2" xfId="22862" xr:uid="{00000000-0005-0000-0000-00004E590000}"/>
    <cellStyle name="Normal 266 2 2" xfId="22863" xr:uid="{00000000-0005-0000-0000-00004F590000}"/>
    <cellStyle name="Normal 266 2 2 2" xfId="22864" xr:uid="{00000000-0005-0000-0000-000050590000}"/>
    <cellStyle name="Normal 266 2 3" xfId="22865" xr:uid="{00000000-0005-0000-0000-000051590000}"/>
    <cellStyle name="Normal 266 2 3 2" xfId="22866" xr:uid="{00000000-0005-0000-0000-000052590000}"/>
    <cellStyle name="Normal 266 2 3 2 2" xfId="22867" xr:uid="{00000000-0005-0000-0000-000053590000}"/>
    <cellStyle name="Normal 266 2 3 3" xfId="22868" xr:uid="{00000000-0005-0000-0000-000054590000}"/>
    <cellStyle name="Normal 266 2 4" xfId="22869" xr:uid="{00000000-0005-0000-0000-000055590000}"/>
    <cellStyle name="Normal 266 2 4 2" xfId="22870" xr:uid="{00000000-0005-0000-0000-000056590000}"/>
    <cellStyle name="Normal 266 2 4 2 2" xfId="22871" xr:uid="{00000000-0005-0000-0000-000057590000}"/>
    <cellStyle name="Normal 266 2 4 3" xfId="22872" xr:uid="{00000000-0005-0000-0000-000058590000}"/>
    <cellStyle name="Normal 266 2 5" xfId="22873" xr:uid="{00000000-0005-0000-0000-000059590000}"/>
    <cellStyle name="Normal 266 3" xfId="22874" xr:uid="{00000000-0005-0000-0000-00005A590000}"/>
    <cellStyle name="Normal 266 3 2" xfId="22875" xr:uid="{00000000-0005-0000-0000-00005B590000}"/>
    <cellStyle name="Normal 266 3 2 2" xfId="22876" xr:uid="{00000000-0005-0000-0000-00005C590000}"/>
    <cellStyle name="Normal 266 3 2 2 2" xfId="22877" xr:uid="{00000000-0005-0000-0000-00005D590000}"/>
    <cellStyle name="Normal 266 3 2 3" xfId="22878" xr:uid="{00000000-0005-0000-0000-00005E590000}"/>
    <cellStyle name="Normal 266 3 2 3 2" xfId="22879" xr:uid="{00000000-0005-0000-0000-00005F590000}"/>
    <cellStyle name="Normal 266 3 2 3 2 2" xfId="22880" xr:uid="{00000000-0005-0000-0000-000060590000}"/>
    <cellStyle name="Normal 266 3 2 3 3" xfId="22881" xr:uid="{00000000-0005-0000-0000-000061590000}"/>
    <cellStyle name="Normal 266 3 2 4" xfId="22882" xr:uid="{00000000-0005-0000-0000-000062590000}"/>
    <cellStyle name="Normal 266 3 3" xfId="22883" xr:uid="{00000000-0005-0000-0000-000063590000}"/>
    <cellStyle name="Normal 266 3 3 2" xfId="22884" xr:uid="{00000000-0005-0000-0000-000064590000}"/>
    <cellStyle name="Normal 266 3 3 2 2" xfId="22885" xr:uid="{00000000-0005-0000-0000-000065590000}"/>
    <cellStyle name="Normal 266 3 3 3" xfId="22886" xr:uid="{00000000-0005-0000-0000-000066590000}"/>
    <cellStyle name="Normal 266 3 4" xfId="22887" xr:uid="{00000000-0005-0000-0000-000067590000}"/>
    <cellStyle name="Normal 266 3 4 2" xfId="22888" xr:uid="{00000000-0005-0000-0000-000068590000}"/>
    <cellStyle name="Normal 266 3 4 2 2" xfId="22889" xr:uid="{00000000-0005-0000-0000-000069590000}"/>
    <cellStyle name="Normal 266 3 4 3" xfId="22890" xr:uid="{00000000-0005-0000-0000-00006A590000}"/>
    <cellStyle name="Normal 266 3 5" xfId="22891" xr:uid="{00000000-0005-0000-0000-00006B590000}"/>
    <cellStyle name="Normal 266 3 5 2" xfId="22892" xr:uid="{00000000-0005-0000-0000-00006C590000}"/>
    <cellStyle name="Normal 266 3 5 2 2" xfId="22893" xr:uid="{00000000-0005-0000-0000-00006D590000}"/>
    <cellStyle name="Normal 266 3 5 3" xfId="22894" xr:uid="{00000000-0005-0000-0000-00006E590000}"/>
    <cellStyle name="Normal 266 3 6" xfId="22895" xr:uid="{00000000-0005-0000-0000-00006F590000}"/>
    <cellStyle name="Normal 266 4" xfId="22896" xr:uid="{00000000-0005-0000-0000-000070590000}"/>
    <cellStyle name="Normal 266 4 2" xfId="22897" xr:uid="{00000000-0005-0000-0000-000071590000}"/>
    <cellStyle name="Normal 266 4 2 2" xfId="22898" xr:uid="{00000000-0005-0000-0000-000072590000}"/>
    <cellStyle name="Normal 266 4 3" xfId="22899" xr:uid="{00000000-0005-0000-0000-000073590000}"/>
    <cellStyle name="Normal 266 5" xfId="22900" xr:uid="{00000000-0005-0000-0000-000074590000}"/>
    <cellStyle name="Normal 266 5 2" xfId="22901" xr:uid="{00000000-0005-0000-0000-000075590000}"/>
    <cellStyle name="Normal 266 5 2 2" xfId="22902" xr:uid="{00000000-0005-0000-0000-000076590000}"/>
    <cellStyle name="Normal 266 5 3" xfId="22903" xr:uid="{00000000-0005-0000-0000-000077590000}"/>
    <cellStyle name="Normal 266 6" xfId="22904" xr:uid="{00000000-0005-0000-0000-000078590000}"/>
    <cellStyle name="Normal 266 6 2" xfId="22905" xr:uid="{00000000-0005-0000-0000-000079590000}"/>
    <cellStyle name="Normal 266 6 2 2" xfId="22906" xr:uid="{00000000-0005-0000-0000-00007A590000}"/>
    <cellStyle name="Normal 266 6 3" xfId="22907" xr:uid="{00000000-0005-0000-0000-00007B590000}"/>
    <cellStyle name="Normal 266 7" xfId="22908" xr:uid="{00000000-0005-0000-0000-00007C590000}"/>
    <cellStyle name="Normal 267" xfId="22909" xr:uid="{00000000-0005-0000-0000-00007D590000}"/>
    <cellStyle name="Normal 267 2" xfId="22910" xr:uid="{00000000-0005-0000-0000-00007E590000}"/>
    <cellStyle name="Normal 267 2 2" xfId="22911" xr:uid="{00000000-0005-0000-0000-00007F590000}"/>
    <cellStyle name="Normal 267 2 2 2" xfId="22912" xr:uid="{00000000-0005-0000-0000-000080590000}"/>
    <cellStyle name="Normal 267 2 3" xfId="22913" xr:uid="{00000000-0005-0000-0000-000081590000}"/>
    <cellStyle name="Normal 267 2 3 2" xfId="22914" xr:uid="{00000000-0005-0000-0000-000082590000}"/>
    <cellStyle name="Normal 267 2 3 2 2" xfId="22915" xr:uid="{00000000-0005-0000-0000-000083590000}"/>
    <cellStyle name="Normal 267 2 3 3" xfId="22916" xr:uid="{00000000-0005-0000-0000-000084590000}"/>
    <cellStyle name="Normal 267 2 4" xfId="22917" xr:uid="{00000000-0005-0000-0000-000085590000}"/>
    <cellStyle name="Normal 267 2 4 2" xfId="22918" xr:uid="{00000000-0005-0000-0000-000086590000}"/>
    <cellStyle name="Normal 267 2 4 2 2" xfId="22919" xr:uid="{00000000-0005-0000-0000-000087590000}"/>
    <cellStyle name="Normal 267 2 4 3" xfId="22920" xr:uid="{00000000-0005-0000-0000-000088590000}"/>
    <cellStyle name="Normal 267 2 5" xfId="22921" xr:uid="{00000000-0005-0000-0000-000089590000}"/>
    <cellStyle name="Normal 267 3" xfId="22922" xr:uid="{00000000-0005-0000-0000-00008A590000}"/>
    <cellStyle name="Normal 267 3 2" xfId="22923" xr:uid="{00000000-0005-0000-0000-00008B590000}"/>
    <cellStyle name="Normal 267 3 2 2" xfId="22924" xr:uid="{00000000-0005-0000-0000-00008C590000}"/>
    <cellStyle name="Normal 267 3 2 2 2" xfId="22925" xr:uid="{00000000-0005-0000-0000-00008D590000}"/>
    <cellStyle name="Normal 267 3 2 3" xfId="22926" xr:uid="{00000000-0005-0000-0000-00008E590000}"/>
    <cellStyle name="Normal 267 3 2 3 2" xfId="22927" xr:uid="{00000000-0005-0000-0000-00008F590000}"/>
    <cellStyle name="Normal 267 3 2 3 2 2" xfId="22928" xr:uid="{00000000-0005-0000-0000-000090590000}"/>
    <cellStyle name="Normal 267 3 2 3 3" xfId="22929" xr:uid="{00000000-0005-0000-0000-000091590000}"/>
    <cellStyle name="Normal 267 3 2 4" xfId="22930" xr:uid="{00000000-0005-0000-0000-000092590000}"/>
    <cellStyle name="Normal 267 3 3" xfId="22931" xr:uid="{00000000-0005-0000-0000-000093590000}"/>
    <cellStyle name="Normal 267 3 3 2" xfId="22932" xr:uid="{00000000-0005-0000-0000-000094590000}"/>
    <cellStyle name="Normal 267 3 3 2 2" xfId="22933" xr:uid="{00000000-0005-0000-0000-000095590000}"/>
    <cellStyle name="Normal 267 3 3 3" xfId="22934" xr:uid="{00000000-0005-0000-0000-000096590000}"/>
    <cellStyle name="Normal 267 3 4" xfId="22935" xr:uid="{00000000-0005-0000-0000-000097590000}"/>
    <cellStyle name="Normal 267 3 4 2" xfId="22936" xr:uid="{00000000-0005-0000-0000-000098590000}"/>
    <cellStyle name="Normal 267 3 4 2 2" xfId="22937" xr:uid="{00000000-0005-0000-0000-000099590000}"/>
    <cellStyle name="Normal 267 3 4 3" xfId="22938" xr:uid="{00000000-0005-0000-0000-00009A590000}"/>
    <cellStyle name="Normal 267 3 5" xfId="22939" xr:uid="{00000000-0005-0000-0000-00009B590000}"/>
    <cellStyle name="Normal 267 3 5 2" xfId="22940" xr:uid="{00000000-0005-0000-0000-00009C590000}"/>
    <cellStyle name="Normal 267 3 5 2 2" xfId="22941" xr:uid="{00000000-0005-0000-0000-00009D590000}"/>
    <cellStyle name="Normal 267 3 5 3" xfId="22942" xr:uid="{00000000-0005-0000-0000-00009E590000}"/>
    <cellStyle name="Normal 267 3 6" xfId="22943" xr:uid="{00000000-0005-0000-0000-00009F590000}"/>
    <cellStyle name="Normal 267 4" xfId="22944" xr:uid="{00000000-0005-0000-0000-0000A0590000}"/>
    <cellStyle name="Normal 267 4 2" xfId="22945" xr:uid="{00000000-0005-0000-0000-0000A1590000}"/>
    <cellStyle name="Normal 267 4 2 2" xfId="22946" xr:uid="{00000000-0005-0000-0000-0000A2590000}"/>
    <cellStyle name="Normal 267 4 3" xfId="22947" xr:uid="{00000000-0005-0000-0000-0000A3590000}"/>
    <cellStyle name="Normal 267 5" xfId="22948" xr:uid="{00000000-0005-0000-0000-0000A4590000}"/>
    <cellStyle name="Normal 267 5 2" xfId="22949" xr:uid="{00000000-0005-0000-0000-0000A5590000}"/>
    <cellStyle name="Normal 267 5 2 2" xfId="22950" xr:uid="{00000000-0005-0000-0000-0000A6590000}"/>
    <cellStyle name="Normal 267 5 3" xfId="22951" xr:uid="{00000000-0005-0000-0000-0000A7590000}"/>
    <cellStyle name="Normal 267 6" xfId="22952" xr:uid="{00000000-0005-0000-0000-0000A8590000}"/>
    <cellStyle name="Normal 267 6 2" xfId="22953" xr:uid="{00000000-0005-0000-0000-0000A9590000}"/>
    <cellStyle name="Normal 267 6 2 2" xfId="22954" xr:uid="{00000000-0005-0000-0000-0000AA590000}"/>
    <cellStyle name="Normal 267 6 3" xfId="22955" xr:uid="{00000000-0005-0000-0000-0000AB590000}"/>
    <cellStyle name="Normal 267 7" xfId="22956" xr:uid="{00000000-0005-0000-0000-0000AC590000}"/>
    <cellStyle name="Normal 268" xfId="22957" xr:uid="{00000000-0005-0000-0000-0000AD590000}"/>
    <cellStyle name="Normal 268 2" xfId="22958" xr:uid="{00000000-0005-0000-0000-0000AE590000}"/>
    <cellStyle name="Normal 268 2 2" xfId="22959" xr:uid="{00000000-0005-0000-0000-0000AF590000}"/>
    <cellStyle name="Normal 268 2 2 2" xfId="22960" xr:uid="{00000000-0005-0000-0000-0000B0590000}"/>
    <cellStyle name="Normal 268 2 3" xfId="22961" xr:uid="{00000000-0005-0000-0000-0000B1590000}"/>
    <cellStyle name="Normal 268 2 3 2" xfId="22962" xr:uid="{00000000-0005-0000-0000-0000B2590000}"/>
    <cellStyle name="Normal 268 2 3 2 2" xfId="22963" xr:uid="{00000000-0005-0000-0000-0000B3590000}"/>
    <cellStyle name="Normal 268 2 3 3" xfId="22964" xr:uid="{00000000-0005-0000-0000-0000B4590000}"/>
    <cellStyle name="Normal 268 2 4" xfId="22965" xr:uid="{00000000-0005-0000-0000-0000B5590000}"/>
    <cellStyle name="Normal 268 2 4 2" xfId="22966" xr:uid="{00000000-0005-0000-0000-0000B6590000}"/>
    <cellStyle name="Normal 268 2 4 2 2" xfId="22967" xr:uid="{00000000-0005-0000-0000-0000B7590000}"/>
    <cellStyle name="Normal 268 2 4 3" xfId="22968" xr:uid="{00000000-0005-0000-0000-0000B8590000}"/>
    <cellStyle name="Normal 268 2 5" xfId="22969" xr:uid="{00000000-0005-0000-0000-0000B9590000}"/>
    <cellStyle name="Normal 268 3" xfId="22970" xr:uid="{00000000-0005-0000-0000-0000BA590000}"/>
    <cellStyle name="Normal 268 3 2" xfId="22971" xr:uid="{00000000-0005-0000-0000-0000BB590000}"/>
    <cellStyle name="Normal 268 3 2 2" xfId="22972" xr:uid="{00000000-0005-0000-0000-0000BC590000}"/>
    <cellStyle name="Normal 268 3 2 2 2" xfId="22973" xr:uid="{00000000-0005-0000-0000-0000BD590000}"/>
    <cellStyle name="Normal 268 3 2 3" xfId="22974" xr:uid="{00000000-0005-0000-0000-0000BE590000}"/>
    <cellStyle name="Normal 268 3 2 3 2" xfId="22975" xr:uid="{00000000-0005-0000-0000-0000BF590000}"/>
    <cellStyle name="Normal 268 3 2 3 2 2" xfId="22976" xr:uid="{00000000-0005-0000-0000-0000C0590000}"/>
    <cellStyle name="Normal 268 3 2 3 3" xfId="22977" xr:uid="{00000000-0005-0000-0000-0000C1590000}"/>
    <cellStyle name="Normal 268 3 2 4" xfId="22978" xr:uid="{00000000-0005-0000-0000-0000C2590000}"/>
    <cellStyle name="Normal 268 3 3" xfId="22979" xr:uid="{00000000-0005-0000-0000-0000C3590000}"/>
    <cellStyle name="Normal 268 3 3 2" xfId="22980" xr:uid="{00000000-0005-0000-0000-0000C4590000}"/>
    <cellStyle name="Normal 268 3 3 2 2" xfId="22981" xr:uid="{00000000-0005-0000-0000-0000C5590000}"/>
    <cellStyle name="Normal 268 3 3 3" xfId="22982" xr:uid="{00000000-0005-0000-0000-0000C6590000}"/>
    <cellStyle name="Normal 268 3 4" xfId="22983" xr:uid="{00000000-0005-0000-0000-0000C7590000}"/>
    <cellStyle name="Normal 268 3 4 2" xfId="22984" xr:uid="{00000000-0005-0000-0000-0000C8590000}"/>
    <cellStyle name="Normal 268 3 4 2 2" xfId="22985" xr:uid="{00000000-0005-0000-0000-0000C9590000}"/>
    <cellStyle name="Normal 268 3 4 3" xfId="22986" xr:uid="{00000000-0005-0000-0000-0000CA590000}"/>
    <cellStyle name="Normal 268 3 5" xfId="22987" xr:uid="{00000000-0005-0000-0000-0000CB590000}"/>
    <cellStyle name="Normal 268 3 5 2" xfId="22988" xr:uid="{00000000-0005-0000-0000-0000CC590000}"/>
    <cellStyle name="Normal 268 3 5 2 2" xfId="22989" xr:uid="{00000000-0005-0000-0000-0000CD590000}"/>
    <cellStyle name="Normal 268 3 5 3" xfId="22990" xr:uid="{00000000-0005-0000-0000-0000CE590000}"/>
    <cellStyle name="Normal 268 3 6" xfId="22991" xr:uid="{00000000-0005-0000-0000-0000CF590000}"/>
    <cellStyle name="Normal 268 4" xfId="22992" xr:uid="{00000000-0005-0000-0000-0000D0590000}"/>
    <cellStyle name="Normal 268 4 2" xfId="22993" xr:uid="{00000000-0005-0000-0000-0000D1590000}"/>
    <cellStyle name="Normal 268 4 2 2" xfId="22994" xr:uid="{00000000-0005-0000-0000-0000D2590000}"/>
    <cellStyle name="Normal 268 4 3" xfId="22995" xr:uid="{00000000-0005-0000-0000-0000D3590000}"/>
    <cellStyle name="Normal 268 5" xfId="22996" xr:uid="{00000000-0005-0000-0000-0000D4590000}"/>
    <cellStyle name="Normal 268 5 2" xfId="22997" xr:uid="{00000000-0005-0000-0000-0000D5590000}"/>
    <cellStyle name="Normal 268 5 2 2" xfId="22998" xr:uid="{00000000-0005-0000-0000-0000D6590000}"/>
    <cellStyle name="Normal 268 5 3" xfId="22999" xr:uid="{00000000-0005-0000-0000-0000D7590000}"/>
    <cellStyle name="Normal 268 6" xfId="23000" xr:uid="{00000000-0005-0000-0000-0000D8590000}"/>
    <cellStyle name="Normal 268 6 2" xfId="23001" xr:uid="{00000000-0005-0000-0000-0000D9590000}"/>
    <cellStyle name="Normal 268 6 2 2" xfId="23002" xr:uid="{00000000-0005-0000-0000-0000DA590000}"/>
    <cellStyle name="Normal 268 6 3" xfId="23003" xr:uid="{00000000-0005-0000-0000-0000DB590000}"/>
    <cellStyle name="Normal 268 7" xfId="23004" xr:uid="{00000000-0005-0000-0000-0000DC590000}"/>
    <cellStyle name="Normal 269" xfId="23005" xr:uid="{00000000-0005-0000-0000-0000DD590000}"/>
    <cellStyle name="Normal 269 2" xfId="23006" xr:uid="{00000000-0005-0000-0000-0000DE590000}"/>
    <cellStyle name="Normal 269 2 2" xfId="23007" xr:uid="{00000000-0005-0000-0000-0000DF590000}"/>
    <cellStyle name="Normal 269 2 2 2" xfId="23008" xr:uid="{00000000-0005-0000-0000-0000E0590000}"/>
    <cellStyle name="Normal 269 2 3" xfId="23009" xr:uid="{00000000-0005-0000-0000-0000E1590000}"/>
    <cellStyle name="Normal 269 2 3 2" xfId="23010" xr:uid="{00000000-0005-0000-0000-0000E2590000}"/>
    <cellStyle name="Normal 269 2 3 2 2" xfId="23011" xr:uid="{00000000-0005-0000-0000-0000E3590000}"/>
    <cellStyle name="Normal 269 2 3 3" xfId="23012" xr:uid="{00000000-0005-0000-0000-0000E4590000}"/>
    <cellStyle name="Normal 269 2 4" xfId="23013" xr:uid="{00000000-0005-0000-0000-0000E5590000}"/>
    <cellStyle name="Normal 269 2 4 2" xfId="23014" xr:uid="{00000000-0005-0000-0000-0000E6590000}"/>
    <cellStyle name="Normal 269 2 4 2 2" xfId="23015" xr:uid="{00000000-0005-0000-0000-0000E7590000}"/>
    <cellStyle name="Normal 269 2 4 3" xfId="23016" xr:uid="{00000000-0005-0000-0000-0000E8590000}"/>
    <cellStyle name="Normal 269 2 5" xfId="23017" xr:uid="{00000000-0005-0000-0000-0000E9590000}"/>
    <cellStyle name="Normal 269 3" xfId="23018" xr:uid="{00000000-0005-0000-0000-0000EA590000}"/>
    <cellStyle name="Normal 269 3 2" xfId="23019" xr:uid="{00000000-0005-0000-0000-0000EB590000}"/>
    <cellStyle name="Normal 269 3 2 2" xfId="23020" xr:uid="{00000000-0005-0000-0000-0000EC590000}"/>
    <cellStyle name="Normal 269 3 2 2 2" xfId="23021" xr:uid="{00000000-0005-0000-0000-0000ED590000}"/>
    <cellStyle name="Normal 269 3 2 3" xfId="23022" xr:uid="{00000000-0005-0000-0000-0000EE590000}"/>
    <cellStyle name="Normal 269 3 2 3 2" xfId="23023" xr:uid="{00000000-0005-0000-0000-0000EF590000}"/>
    <cellStyle name="Normal 269 3 2 3 2 2" xfId="23024" xr:uid="{00000000-0005-0000-0000-0000F0590000}"/>
    <cellStyle name="Normal 269 3 2 3 3" xfId="23025" xr:uid="{00000000-0005-0000-0000-0000F1590000}"/>
    <cellStyle name="Normal 269 3 2 4" xfId="23026" xr:uid="{00000000-0005-0000-0000-0000F2590000}"/>
    <cellStyle name="Normal 269 3 3" xfId="23027" xr:uid="{00000000-0005-0000-0000-0000F3590000}"/>
    <cellStyle name="Normal 269 3 3 2" xfId="23028" xr:uid="{00000000-0005-0000-0000-0000F4590000}"/>
    <cellStyle name="Normal 269 3 3 2 2" xfId="23029" xr:uid="{00000000-0005-0000-0000-0000F5590000}"/>
    <cellStyle name="Normal 269 3 3 3" xfId="23030" xr:uid="{00000000-0005-0000-0000-0000F6590000}"/>
    <cellStyle name="Normal 269 3 4" xfId="23031" xr:uid="{00000000-0005-0000-0000-0000F7590000}"/>
    <cellStyle name="Normal 269 3 4 2" xfId="23032" xr:uid="{00000000-0005-0000-0000-0000F8590000}"/>
    <cellStyle name="Normal 269 3 4 2 2" xfId="23033" xr:uid="{00000000-0005-0000-0000-0000F9590000}"/>
    <cellStyle name="Normal 269 3 4 3" xfId="23034" xr:uid="{00000000-0005-0000-0000-0000FA590000}"/>
    <cellStyle name="Normal 269 3 5" xfId="23035" xr:uid="{00000000-0005-0000-0000-0000FB590000}"/>
    <cellStyle name="Normal 269 3 5 2" xfId="23036" xr:uid="{00000000-0005-0000-0000-0000FC590000}"/>
    <cellStyle name="Normal 269 3 5 2 2" xfId="23037" xr:uid="{00000000-0005-0000-0000-0000FD590000}"/>
    <cellStyle name="Normal 269 3 5 3" xfId="23038" xr:uid="{00000000-0005-0000-0000-0000FE590000}"/>
    <cellStyle name="Normal 269 3 6" xfId="23039" xr:uid="{00000000-0005-0000-0000-0000FF590000}"/>
    <cellStyle name="Normal 269 4" xfId="23040" xr:uid="{00000000-0005-0000-0000-0000005A0000}"/>
    <cellStyle name="Normal 269 4 2" xfId="23041" xr:uid="{00000000-0005-0000-0000-0000015A0000}"/>
    <cellStyle name="Normal 269 4 2 2" xfId="23042" xr:uid="{00000000-0005-0000-0000-0000025A0000}"/>
    <cellStyle name="Normal 269 4 3" xfId="23043" xr:uid="{00000000-0005-0000-0000-0000035A0000}"/>
    <cellStyle name="Normal 269 5" xfId="23044" xr:uid="{00000000-0005-0000-0000-0000045A0000}"/>
    <cellStyle name="Normal 269 5 2" xfId="23045" xr:uid="{00000000-0005-0000-0000-0000055A0000}"/>
    <cellStyle name="Normal 269 5 2 2" xfId="23046" xr:uid="{00000000-0005-0000-0000-0000065A0000}"/>
    <cellStyle name="Normal 269 5 3" xfId="23047" xr:uid="{00000000-0005-0000-0000-0000075A0000}"/>
    <cellStyle name="Normal 269 6" xfId="23048" xr:uid="{00000000-0005-0000-0000-0000085A0000}"/>
    <cellStyle name="Normal 269 6 2" xfId="23049" xr:uid="{00000000-0005-0000-0000-0000095A0000}"/>
    <cellStyle name="Normal 269 6 2 2" xfId="23050" xr:uid="{00000000-0005-0000-0000-00000A5A0000}"/>
    <cellStyle name="Normal 269 6 3" xfId="23051" xr:uid="{00000000-0005-0000-0000-00000B5A0000}"/>
    <cellStyle name="Normal 269 7" xfId="23052" xr:uid="{00000000-0005-0000-0000-00000C5A0000}"/>
    <cellStyle name="Normal 27" xfId="23053" xr:uid="{00000000-0005-0000-0000-00000D5A0000}"/>
    <cellStyle name="Normal 27 2" xfId="23054" xr:uid="{00000000-0005-0000-0000-00000E5A0000}"/>
    <cellStyle name="Normal 27 2 2" xfId="23055" xr:uid="{00000000-0005-0000-0000-00000F5A0000}"/>
    <cellStyle name="Normal 27 2 2 2" xfId="23056" xr:uid="{00000000-0005-0000-0000-0000105A0000}"/>
    <cellStyle name="Normal 27 2 2 2 2" xfId="23057" xr:uid="{00000000-0005-0000-0000-0000115A0000}"/>
    <cellStyle name="Normal 27 2 2 3" xfId="23058" xr:uid="{00000000-0005-0000-0000-0000125A0000}"/>
    <cellStyle name="Normal 27 2 2 3 2" xfId="23059" xr:uid="{00000000-0005-0000-0000-0000135A0000}"/>
    <cellStyle name="Normal 27 2 2 3 2 2" xfId="23060" xr:uid="{00000000-0005-0000-0000-0000145A0000}"/>
    <cellStyle name="Normal 27 2 2 3 3" xfId="23061" xr:uid="{00000000-0005-0000-0000-0000155A0000}"/>
    <cellStyle name="Normal 27 2 2 4" xfId="23062" xr:uid="{00000000-0005-0000-0000-0000165A0000}"/>
    <cellStyle name="Normal 27 2 2 4 2" xfId="23063" xr:uid="{00000000-0005-0000-0000-0000175A0000}"/>
    <cellStyle name="Normal 27 2 2 4 2 2" xfId="23064" xr:uid="{00000000-0005-0000-0000-0000185A0000}"/>
    <cellStyle name="Normal 27 2 2 4 3" xfId="23065" xr:uid="{00000000-0005-0000-0000-0000195A0000}"/>
    <cellStyle name="Normal 27 2 2 5" xfId="23066" xr:uid="{00000000-0005-0000-0000-00001A5A0000}"/>
    <cellStyle name="Normal 27 2 3" xfId="23067" xr:uid="{00000000-0005-0000-0000-00001B5A0000}"/>
    <cellStyle name="Normal 27 2 3 2" xfId="23068" xr:uid="{00000000-0005-0000-0000-00001C5A0000}"/>
    <cellStyle name="Normal 27 2 3 2 2" xfId="23069" xr:uid="{00000000-0005-0000-0000-00001D5A0000}"/>
    <cellStyle name="Normal 27 2 3 3" xfId="23070" xr:uid="{00000000-0005-0000-0000-00001E5A0000}"/>
    <cellStyle name="Normal 27 2 4" xfId="23071" xr:uid="{00000000-0005-0000-0000-00001F5A0000}"/>
    <cellStyle name="Normal 27 2 4 2" xfId="23072" xr:uid="{00000000-0005-0000-0000-0000205A0000}"/>
    <cellStyle name="Normal 27 2 4 2 2" xfId="23073" xr:uid="{00000000-0005-0000-0000-0000215A0000}"/>
    <cellStyle name="Normal 27 2 4 3" xfId="23074" xr:uid="{00000000-0005-0000-0000-0000225A0000}"/>
    <cellStyle name="Normal 27 2 5" xfId="23075" xr:uid="{00000000-0005-0000-0000-0000235A0000}"/>
    <cellStyle name="Normal 27 2 5 2" xfId="23076" xr:uid="{00000000-0005-0000-0000-0000245A0000}"/>
    <cellStyle name="Normal 27 2 5 2 2" xfId="23077" xr:uid="{00000000-0005-0000-0000-0000255A0000}"/>
    <cellStyle name="Normal 27 2 5 3" xfId="23078" xr:uid="{00000000-0005-0000-0000-0000265A0000}"/>
    <cellStyle name="Normal 27 2 6" xfId="23079" xr:uid="{00000000-0005-0000-0000-0000275A0000}"/>
    <cellStyle name="Normal 27 3" xfId="23080" xr:uid="{00000000-0005-0000-0000-0000285A0000}"/>
    <cellStyle name="Normal 27 3 2" xfId="23081" xr:uid="{00000000-0005-0000-0000-0000295A0000}"/>
    <cellStyle name="Normal 27 3 2 2" xfId="23082" xr:uid="{00000000-0005-0000-0000-00002A5A0000}"/>
    <cellStyle name="Normal 27 3 3" xfId="23083" xr:uid="{00000000-0005-0000-0000-00002B5A0000}"/>
    <cellStyle name="Normal 27 3 3 2" xfId="23084" xr:uid="{00000000-0005-0000-0000-00002C5A0000}"/>
    <cellStyle name="Normal 27 3 3 2 2" xfId="23085" xr:uid="{00000000-0005-0000-0000-00002D5A0000}"/>
    <cellStyle name="Normal 27 3 3 3" xfId="23086" xr:uid="{00000000-0005-0000-0000-00002E5A0000}"/>
    <cellStyle name="Normal 27 3 4" xfId="23087" xr:uid="{00000000-0005-0000-0000-00002F5A0000}"/>
    <cellStyle name="Normal 27 3 4 2" xfId="23088" xr:uid="{00000000-0005-0000-0000-0000305A0000}"/>
    <cellStyle name="Normal 27 3 4 2 2" xfId="23089" xr:uid="{00000000-0005-0000-0000-0000315A0000}"/>
    <cellStyle name="Normal 27 3 4 3" xfId="23090" xr:uid="{00000000-0005-0000-0000-0000325A0000}"/>
    <cellStyle name="Normal 27 3 5" xfId="23091" xr:uid="{00000000-0005-0000-0000-0000335A0000}"/>
    <cellStyle name="Normal 27 4" xfId="23092" xr:uid="{00000000-0005-0000-0000-0000345A0000}"/>
    <cellStyle name="Normal 27 4 2" xfId="23093" xr:uid="{00000000-0005-0000-0000-0000355A0000}"/>
    <cellStyle name="Normal 27 4 2 2" xfId="23094" xr:uid="{00000000-0005-0000-0000-0000365A0000}"/>
    <cellStyle name="Normal 27 4 3" xfId="23095" xr:uid="{00000000-0005-0000-0000-0000375A0000}"/>
    <cellStyle name="Normal 27 4 3 2" xfId="23096" xr:uid="{00000000-0005-0000-0000-0000385A0000}"/>
    <cellStyle name="Normal 27 4 3 2 2" xfId="23097" xr:uid="{00000000-0005-0000-0000-0000395A0000}"/>
    <cellStyle name="Normal 27 4 3 3" xfId="23098" xr:uid="{00000000-0005-0000-0000-00003A5A0000}"/>
    <cellStyle name="Normal 27 4 4" xfId="23099" xr:uid="{00000000-0005-0000-0000-00003B5A0000}"/>
    <cellStyle name="Normal 27 4 4 2" xfId="23100" xr:uid="{00000000-0005-0000-0000-00003C5A0000}"/>
    <cellStyle name="Normal 27 4 4 2 2" xfId="23101" xr:uid="{00000000-0005-0000-0000-00003D5A0000}"/>
    <cellStyle name="Normal 27 4 4 3" xfId="23102" xr:uid="{00000000-0005-0000-0000-00003E5A0000}"/>
    <cellStyle name="Normal 27 4 5" xfId="23103" xr:uid="{00000000-0005-0000-0000-00003F5A0000}"/>
    <cellStyle name="Normal 27 5" xfId="23104" xr:uid="{00000000-0005-0000-0000-0000405A0000}"/>
    <cellStyle name="Normal 27 5 2" xfId="23105" xr:uid="{00000000-0005-0000-0000-0000415A0000}"/>
    <cellStyle name="Normal 27 5 2 2" xfId="23106" xr:uid="{00000000-0005-0000-0000-0000425A0000}"/>
    <cellStyle name="Normal 27 5 3" xfId="23107" xr:uid="{00000000-0005-0000-0000-0000435A0000}"/>
    <cellStyle name="Normal 27 6" xfId="23108" xr:uid="{00000000-0005-0000-0000-0000445A0000}"/>
    <cellStyle name="Normal 27 6 2" xfId="23109" xr:uid="{00000000-0005-0000-0000-0000455A0000}"/>
    <cellStyle name="Normal 27 6 2 2" xfId="23110" xr:uid="{00000000-0005-0000-0000-0000465A0000}"/>
    <cellStyle name="Normal 27 6 3" xfId="23111" xr:uid="{00000000-0005-0000-0000-0000475A0000}"/>
    <cellStyle name="Normal 27 7" xfId="23112" xr:uid="{00000000-0005-0000-0000-0000485A0000}"/>
    <cellStyle name="Normal 27 7 2" xfId="23113" xr:uid="{00000000-0005-0000-0000-0000495A0000}"/>
    <cellStyle name="Normal 27 7 2 2" xfId="23114" xr:uid="{00000000-0005-0000-0000-00004A5A0000}"/>
    <cellStyle name="Normal 27 7 3" xfId="23115" xr:uid="{00000000-0005-0000-0000-00004B5A0000}"/>
    <cellStyle name="Normal 27 8" xfId="23116" xr:uid="{00000000-0005-0000-0000-00004C5A0000}"/>
    <cellStyle name="Normal 270" xfId="23117" xr:uid="{00000000-0005-0000-0000-00004D5A0000}"/>
    <cellStyle name="Normal 270 2" xfId="23118" xr:uid="{00000000-0005-0000-0000-00004E5A0000}"/>
    <cellStyle name="Normal 270 2 2" xfId="23119" xr:uid="{00000000-0005-0000-0000-00004F5A0000}"/>
    <cellStyle name="Normal 270 2 2 2" xfId="23120" xr:uid="{00000000-0005-0000-0000-0000505A0000}"/>
    <cellStyle name="Normal 270 2 3" xfId="23121" xr:uid="{00000000-0005-0000-0000-0000515A0000}"/>
    <cellStyle name="Normal 270 2 3 2" xfId="23122" xr:uid="{00000000-0005-0000-0000-0000525A0000}"/>
    <cellStyle name="Normal 270 2 3 2 2" xfId="23123" xr:uid="{00000000-0005-0000-0000-0000535A0000}"/>
    <cellStyle name="Normal 270 2 3 3" xfId="23124" xr:uid="{00000000-0005-0000-0000-0000545A0000}"/>
    <cellStyle name="Normal 270 2 4" xfId="23125" xr:uid="{00000000-0005-0000-0000-0000555A0000}"/>
    <cellStyle name="Normal 270 2 4 2" xfId="23126" xr:uid="{00000000-0005-0000-0000-0000565A0000}"/>
    <cellStyle name="Normal 270 2 4 2 2" xfId="23127" xr:uid="{00000000-0005-0000-0000-0000575A0000}"/>
    <cellStyle name="Normal 270 2 4 3" xfId="23128" xr:uid="{00000000-0005-0000-0000-0000585A0000}"/>
    <cellStyle name="Normal 270 2 5" xfId="23129" xr:uid="{00000000-0005-0000-0000-0000595A0000}"/>
    <cellStyle name="Normal 270 3" xfId="23130" xr:uid="{00000000-0005-0000-0000-00005A5A0000}"/>
    <cellStyle name="Normal 270 3 2" xfId="23131" xr:uid="{00000000-0005-0000-0000-00005B5A0000}"/>
    <cellStyle name="Normal 270 3 2 2" xfId="23132" xr:uid="{00000000-0005-0000-0000-00005C5A0000}"/>
    <cellStyle name="Normal 270 3 2 2 2" xfId="23133" xr:uid="{00000000-0005-0000-0000-00005D5A0000}"/>
    <cellStyle name="Normal 270 3 2 3" xfId="23134" xr:uid="{00000000-0005-0000-0000-00005E5A0000}"/>
    <cellStyle name="Normal 270 3 2 3 2" xfId="23135" xr:uid="{00000000-0005-0000-0000-00005F5A0000}"/>
    <cellStyle name="Normal 270 3 2 3 2 2" xfId="23136" xr:uid="{00000000-0005-0000-0000-0000605A0000}"/>
    <cellStyle name="Normal 270 3 2 3 3" xfId="23137" xr:uid="{00000000-0005-0000-0000-0000615A0000}"/>
    <cellStyle name="Normal 270 3 2 4" xfId="23138" xr:uid="{00000000-0005-0000-0000-0000625A0000}"/>
    <cellStyle name="Normal 270 3 3" xfId="23139" xr:uid="{00000000-0005-0000-0000-0000635A0000}"/>
    <cellStyle name="Normal 270 3 3 2" xfId="23140" xr:uid="{00000000-0005-0000-0000-0000645A0000}"/>
    <cellStyle name="Normal 270 3 3 2 2" xfId="23141" xr:uid="{00000000-0005-0000-0000-0000655A0000}"/>
    <cellStyle name="Normal 270 3 3 3" xfId="23142" xr:uid="{00000000-0005-0000-0000-0000665A0000}"/>
    <cellStyle name="Normal 270 3 4" xfId="23143" xr:uid="{00000000-0005-0000-0000-0000675A0000}"/>
    <cellStyle name="Normal 270 3 4 2" xfId="23144" xr:uid="{00000000-0005-0000-0000-0000685A0000}"/>
    <cellStyle name="Normal 270 3 4 2 2" xfId="23145" xr:uid="{00000000-0005-0000-0000-0000695A0000}"/>
    <cellStyle name="Normal 270 3 4 3" xfId="23146" xr:uid="{00000000-0005-0000-0000-00006A5A0000}"/>
    <cellStyle name="Normal 270 3 5" xfId="23147" xr:uid="{00000000-0005-0000-0000-00006B5A0000}"/>
    <cellStyle name="Normal 270 3 5 2" xfId="23148" xr:uid="{00000000-0005-0000-0000-00006C5A0000}"/>
    <cellStyle name="Normal 270 3 5 2 2" xfId="23149" xr:uid="{00000000-0005-0000-0000-00006D5A0000}"/>
    <cellStyle name="Normal 270 3 5 3" xfId="23150" xr:uid="{00000000-0005-0000-0000-00006E5A0000}"/>
    <cellStyle name="Normal 270 3 6" xfId="23151" xr:uid="{00000000-0005-0000-0000-00006F5A0000}"/>
    <cellStyle name="Normal 270 4" xfId="23152" xr:uid="{00000000-0005-0000-0000-0000705A0000}"/>
    <cellStyle name="Normal 270 4 2" xfId="23153" xr:uid="{00000000-0005-0000-0000-0000715A0000}"/>
    <cellStyle name="Normal 270 4 2 2" xfId="23154" xr:uid="{00000000-0005-0000-0000-0000725A0000}"/>
    <cellStyle name="Normal 270 4 3" xfId="23155" xr:uid="{00000000-0005-0000-0000-0000735A0000}"/>
    <cellStyle name="Normal 270 5" xfId="23156" xr:uid="{00000000-0005-0000-0000-0000745A0000}"/>
    <cellStyle name="Normal 270 5 2" xfId="23157" xr:uid="{00000000-0005-0000-0000-0000755A0000}"/>
    <cellStyle name="Normal 270 5 2 2" xfId="23158" xr:uid="{00000000-0005-0000-0000-0000765A0000}"/>
    <cellStyle name="Normal 270 5 3" xfId="23159" xr:uid="{00000000-0005-0000-0000-0000775A0000}"/>
    <cellStyle name="Normal 270 6" xfId="23160" xr:uid="{00000000-0005-0000-0000-0000785A0000}"/>
    <cellStyle name="Normal 270 6 2" xfId="23161" xr:uid="{00000000-0005-0000-0000-0000795A0000}"/>
    <cellStyle name="Normal 270 6 2 2" xfId="23162" xr:uid="{00000000-0005-0000-0000-00007A5A0000}"/>
    <cellStyle name="Normal 270 6 3" xfId="23163" xr:uid="{00000000-0005-0000-0000-00007B5A0000}"/>
    <cellStyle name="Normal 270 7" xfId="23164" xr:uid="{00000000-0005-0000-0000-00007C5A0000}"/>
    <cellStyle name="Normal 271" xfId="23165" xr:uid="{00000000-0005-0000-0000-00007D5A0000}"/>
    <cellStyle name="Normal 271 2" xfId="23166" xr:uid="{00000000-0005-0000-0000-00007E5A0000}"/>
    <cellStyle name="Normal 271 2 2" xfId="23167" xr:uid="{00000000-0005-0000-0000-00007F5A0000}"/>
    <cellStyle name="Normal 271 2 2 2" xfId="23168" xr:uid="{00000000-0005-0000-0000-0000805A0000}"/>
    <cellStyle name="Normal 271 2 3" xfId="23169" xr:uid="{00000000-0005-0000-0000-0000815A0000}"/>
    <cellStyle name="Normal 271 2 3 2" xfId="23170" xr:uid="{00000000-0005-0000-0000-0000825A0000}"/>
    <cellStyle name="Normal 271 2 3 2 2" xfId="23171" xr:uid="{00000000-0005-0000-0000-0000835A0000}"/>
    <cellStyle name="Normal 271 2 3 3" xfId="23172" xr:uid="{00000000-0005-0000-0000-0000845A0000}"/>
    <cellStyle name="Normal 271 2 4" xfId="23173" xr:uid="{00000000-0005-0000-0000-0000855A0000}"/>
    <cellStyle name="Normal 271 2 4 2" xfId="23174" xr:uid="{00000000-0005-0000-0000-0000865A0000}"/>
    <cellStyle name="Normal 271 2 4 2 2" xfId="23175" xr:uid="{00000000-0005-0000-0000-0000875A0000}"/>
    <cellStyle name="Normal 271 2 4 3" xfId="23176" xr:uid="{00000000-0005-0000-0000-0000885A0000}"/>
    <cellStyle name="Normal 271 2 5" xfId="23177" xr:uid="{00000000-0005-0000-0000-0000895A0000}"/>
    <cellStyle name="Normal 271 3" xfId="23178" xr:uid="{00000000-0005-0000-0000-00008A5A0000}"/>
    <cellStyle name="Normal 271 3 2" xfId="23179" xr:uid="{00000000-0005-0000-0000-00008B5A0000}"/>
    <cellStyle name="Normal 271 3 2 2" xfId="23180" xr:uid="{00000000-0005-0000-0000-00008C5A0000}"/>
    <cellStyle name="Normal 271 3 2 2 2" xfId="23181" xr:uid="{00000000-0005-0000-0000-00008D5A0000}"/>
    <cellStyle name="Normal 271 3 2 3" xfId="23182" xr:uid="{00000000-0005-0000-0000-00008E5A0000}"/>
    <cellStyle name="Normal 271 3 2 3 2" xfId="23183" xr:uid="{00000000-0005-0000-0000-00008F5A0000}"/>
    <cellStyle name="Normal 271 3 2 3 2 2" xfId="23184" xr:uid="{00000000-0005-0000-0000-0000905A0000}"/>
    <cellStyle name="Normal 271 3 2 3 3" xfId="23185" xr:uid="{00000000-0005-0000-0000-0000915A0000}"/>
    <cellStyle name="Normal 271 3 2 4" xfId="23186" xr:uid="{00000000-0005-0000-0000-0000925A0000}"/>
    <cellStyle name="Normal 271 3 3" xfId="23187" xr:uid="{00000000-0005-0000-0000-0000935A0000}"/>
    <cellStyle name="Normal 271 3 3 2" xfId="23188" xr:uid="{00000000-0005-0000-0000-0000945A0000}"/>
    <cellStyle name="Normal 271 3 3 2 2" xfId="23189" xr:uid="{00000000-0005-0000-0000-0000955A0000}"/>
    <cellStyle name="Normal 271 3 3 3" xfId="23190" xr:uid="{00000000-0005-0000-0000-0000965A0000}"/>
    <cellStyle name="Normal 271 3 4" xfId="23191" xr:uid="{00000000-0005-0000-0000-0000975A0000}"/>
    <cellStyle name="Normal 271 3 4 2" xfId="23192" xr:uid="{00000000-0005-0000-0000-0000985A0000}"/>
    <cellStyle name="Normal 271 3 4 2 2" xfId="23193" xr:uid="{00000000-0005-0000-0000-0000995A0000}"/>
    <cellStyle name="Normal 271 3 4 3" xfId="23194" xr:uid="{00000000-0005-0000-0000-00009A5A0000}"/>
    <cellStyle name="Normal 271 3 5" xfId="23195" xr:uid="{00000000-0005-0000-0000-00009B5A0000}"/>
    <cellStyle name="Normal 271 3 5 2" xfId="23196" xr:uid="{00000000-0005-0000-0000-00009C5A0000}"/>
    <cellStyle name="Normal 271 3 5 2 2" xfId="23197" xr:uid="{00000000-0005-0000-0000-00009D5A0000}"/>
    <cellStyle name="Normal 271 3 5 3" xfId="23198" xr:uid="{00000000-0005-0000-0000-00009E5A0000}"/>
    <cellStyle name="Normal 271 3 6" xfId="23199" xr:uid="{00000000-0005-0000-0000-00009F5A0000}"/>
    <cellStyle name="Normal 271 4" xfId="23200" xr:uid="{00000000-0005-0000-0000-0000A05A0000}"/>
    <cellStyle name="Normal 271 4 2" xfId="23201" xr:uid="{00000000-0005-0000-0000-0000A15A0000}"/>
    <cellStyle name="Normal 271 4 2 2" xfId="23202" xr:uid="{00000000-0005-0000-0000-0000A25A0000}"/>
    <cellStyle name="Normal 271 4 3" xfId="23203" xr:uid="{00000000-0005-0000-0000-0000A35A0000}"/>
    <cellStyle name="Normal 271 5" xfId="23204" xr:uid="{00000000-0005-0000-0000-0000A45A0000}"/>
    <cellStyle name="Normal 271 5 2" xfId="23205" xr:uid="{00000000-0005-0000-0000-0000A55A0000}"/>
    <cellStyle name="Normal 271 5 2 2" xfId="23206" xr:uid="{00000000-0005-0000-0000-0000A65A0000}"/>
    <cellStyle name="Normal 271 5 3" xfId="23207" xr:uid="{00000000-0005-0000-0000-0000A75A0000}"/>
    <cellStyle name="Normal 271 6" xfId="23208" xr:uid="{00000000-0005-0000-0000-0000A85A0000}"/>
    <cellStyle name="Normal 271 6 2" xfId="23209" xr:uid="{00000000-0005-0000-0000-0000A95A0000}"/>
    <cellStyle name="Normal 271 6 2 2" xfId="23210" xr:uid="{00000000-0005-0000-0000-0000AA5A0000}"/>
    <cellStyle name="Normal 271 6 3" xfId="23211" xr:uid="{00000000-0005-0000-0000-0000AB5A0000}"/>
    <cellStyle name="Normal 271 7" xfId="23212" xr:uid="{00000000-0005-0000-0000-0000AC5A0000}"/>
    <cellStyle name="Normal 272" xfId="23213" xr:uid="{00000000-0005-0000-0000-0000AD5A0000}"/>
    <cellStyle name="Normal 272 2" xfId="23214" xr:uid="{00000000-0005-0000-0000-0000AE5A0000}"/>
    <cellStyle name="Normal 272 2 2" xfId="23215" xr:uid="{00000000-0005-0000-0000-0000AF5A0000}"/>
    <cellStyle name="Normal 272 2 2 2" xfId="23216" xr:uid="{00000000-0005-0000-0000-0000B05A0000}"/>
    <cellStyle name="Normal 272 2 3" xfId="23217" xr:uid="{00000000-0005-0000-0000-0000B15A0000}"/>
    <cellStyle name="Normal 272 2 3 2" xfId="23218" xr:uid="{00000000-0005-0000-0000-0000B25A0000}"/>
    <cellStyle name="Normal 272 2 3 2 2" xfId="23219" xr:uid="{00000000-0005-0000-0000-0000B35A0000}"/>
    <cellStyle name="Normal 272 2 3 3" xfId="23220" xr:uid="{00000000-0005-0000-0000-0000B45A0000}"/>
    <cellStyle name="Normal 272 2 4" xfId="23221" xr:uid="{00000000-0005-0000-0000-0000B55A0000}"/>
    <cellStyle name="Normal 272 2 4 2" xfId="23222" xr:uid="{00000000-0005-0000-0000-0000B65A0000}"/>
    <cellStyle name="Normal 272 2 4 2 2" xfId="23223" xr:uid="{00000000-0005-0000-0000-0000B75A0000}"/>
    <cellStyle name="Normal 272 2 4 3" xfId="23224" xr:uid="{00000000-0005-0000-0000-0000B85A0000}"/>
    <cellStyle name="Normal 272 2 5" xfId="23225" xr:uid="{00000000-0005-0000-0000-0000B95A0000}"/>
    <cellStyle name="Normal 272 3" xfId="23226" xr:uid="{00000000-0005-0000-0000-0000BA5A0000}"/>
    <cellStyle name="Normal 272 3 2" xfId="23227" xr:uid="{00000000-0005-0000-0000-0000BB5A0000}"/>
    <cellStyle name="Normal 272 3 2 2" xfId="23228" xr:uid="{00000000-0005-0000-0000-0000BC5A0000}"/>
    <cellStyle name="Normal 272 3 2 2 2" xfId="23229" xr:uid="{00000000-0005-0000-0000-0000BD5A0000}"/>
    <cellStyle name="Normal 272 3 2 3" xfId="23230" xr:uid="{00000000-0005-0000-0000-0000BE5A0000}"/>
    <cellStyle name="Normal 272 3 2 3 2" xfId="23231" xr:uid="{00000000-0005-0000-0000-0000BF5A0000}"/>
    <cellStyle name="Normal 272 3 2 3 2 2" xfId="23232" xr:uid="{00000000-0005-0000-0000-0000C05A0000}"/>
    <cellStyle name="Normal 272 3 2 3 3" xfId="23233" xr:uid="{00000000-0005-0000-0000-0000C15A0000}"/>
    <cellStyle name="Normal 272 3 2 4" xfId="23234" xr:uid="{00000000-0005-0000-0000-0000C25A0000}"/>
    <cellStyle name="Normal 272 3 3" xfId="23235" xr:uid="{00000000-0005-0000-0000-0000C35A0000}"/>
    <cellStyle name="Normal 272 3 3 2" xfId="23236" xr:uid="{00000000-0005-0000-0000-0000C45A0000}"/>
    <cellStyle name="Normal 272 3 3 2 2" xfId="23237" xr:uid="{00000000-0005-0000-0000-0000C55A0000}"/>
    <cellStyle name="Normal 272 3 3 3" xfId="23238" xr:uid="{00000000-0005-0000-0000-0000C65A0000}"/>
    <cellStyle name="Normal 272 3 4" xfId="23239" xr:uid="{00000000-0005-0000-0000-0000C75A0000}"/>
    <cellStyle name="Normal 272 3 4 2" xfId="23240" xr:uid="{00000000-0005-0000-0000-0000C85A0000}"/>
    <cellStyle name="Normal 272 3 4 2 2" xfId="23241" xr:uid="{00000000-0005-0000-0000-0000C95A0000}"/>
    <cellStyle name="Normal 272 3 4 3" xfId="23242" xr:uid="{00000000-0005-0000-0000-0000CA5A0000}"/>
    <cellStyle name="Normal 272 3 5" xfId="23243" xr:uid="{00000000-0005-0000-0000-0000CB5A0000}"/>
    <cellStyle name="Normal 272 3 5 2" xfId="23244" xr:uid="{00000000-0005-0000-0000-0000CC5A0000}"/>
    <cellStyle name="Normal 272 3 5 2 2" xfId="23245" xr:uid="{00000000-0005-0000-0000-0000CD5A0000}"/>
    <cellStyle name="Normal 272 3 5 3" xfId="23246" xr:uid="{00000000-0005-0000-0000-0000CE5A0000}"/>
    <cellStyle name="Normal 272 3 6" xfId="23247" xr:uid="{00000000-0005-0000-0000-0000CF5A0000}"/>
    <cellStyle name="Normal 272 4" xfId="23248" xr:uid="{00000000-0005-0000-0000-0000D05A0000}"/>
    <cellStyle name="Normal 272 4 2" xfId="23249" xr:uid="{00000000-0005-0000-0000-0000D15A0000}"/>
    <cellStyle name="Normal 272 4 2 2" xfId="23250" xr:uid="{00000000-0005-0000-0000-0000D25A0000}"/>
    <cellStyle name="Normal 272 4 3" xfId="23251" xr:uid="{00000000-0005-0000-0000-0000D35A0000}"/>
    <cellStyle name="Normal 272 5" xfId="23252" xr:uid="{00000000-0005-0000-0000-0000D45A0000}"/>
    <cellStyle name="Normal 272 5 2" xfId="23253" xr:uid="{00000000-0005-0000-0000-0000D55A0000}"/>
    <cellStyle name="Normal 272 5 2 2" xfId="23254" xr:uid="{00000000-0005-0000-0000-0000D65A0000}"/>
    <cellStyle name="Normal 272 5 3" xfId="23255" xr:uid="{00000000-0005-0000-0000-0000D75A0000}"/>
    <cellStyle name="Normal 272 6" xfId="23256" xr:uid="{00000000-0005-0000-0000-0000D85A0000}"/>
    <cellStyle name="Normal 272 6 2" xfId="23257" xr:uid="{00000000-0005-0000-0000-0000D95A0000}"/>
    <cellStyle name="Normal 272 6 2 2" xfId="23258" xr:uid="{00000000-0005-0000-0000-0000DA5A0000}"/>
    <cellStyle name="Normal 272 6 3" xfId="23259" xr:uid="{00000000-0005-0000-0000-0000DB5A0000}"/>
    <cellStyle name="Normal 272 7" xfId="23260" xr:uid="{00000000-0005-0000-0000-0000DC5A0000}"/>
    <cellStyle name="Normal 273" xfId="23261" xr:uid="{00000000-0005-0000-0000-0000DD5A0000}"/>
    <cellStyle name="Normal 273 2" xfId="23262" xr:uid="{00000000-0005-0000-0000-0000DE5A0000}"/>
    <cellStyle name="Normal 273 2 2" xfId="23263" xr:uid="{00000000-0005-0000-0000-0000DF5A0000}"/>
    <cellStyle name="Normal 273 2 2 2" xfId="23264" xr:uid="{00000000-0005-0000-0000-0000E05A0000}"/>
    <cellStyle name="Normal 273 2 3" xfId="23265" xr:uid="{00000000-0005-0000-0000-0000E15A0000}"/>
    <cellStyle name="Normal 273 2 3 2" xfId="23266" xr:uid="{00000000-0005-0000-0000-0000E25A0000}"/>
    <cellStyle name="Normal 273 2 3 2 2" xfId="23267" xr:uid="{00000000-0005-0000-0000-0000E35A0000}"/>
    <cellStyle name="Normal 273 2 3 3" xfId="23268" xr:uid="{00000000-0005-0000-0000-0000E45A0000}"/>
    <cellStyle name="Normal 273 2 4" xfId="23269" xr:uid="{00000000-0005-0000-0000-0000E55A0000}"/>
    <cellStyle name="Normal 273 2 4 2" xfId="23270" xr:uid="{00000000-0005-0000-0000-0000E65A0000}"/>
    <cellStyle name="Normal 273 2 4 2 2" xfId="23271" xr:uid="{00000000-0005-0000-0000-0000E75A0000}"/>
    <cellStyle name="Normal 273 2 4 3" xfId="23272" xr:uid="{00000000-0005-0000-0000-0000E85A0000}"/>
    <cellStyle name="Normal 273 2 5" xfId="23273" xr:uid="{00000000-0005-0000-0000-0000E95A0000}"/>
    <cellStyle name="Normal 273 3" xfId="23274" xr:uid="{00000000-0005-0000-0000-0000EA5A0000}"/>
    <cellStyle name="Normal 273 3 2" xfId="23275" xr:uid="{00000000-0005-0000-0000-0000EB5A0000}"/>
    <cellStyle name="Normal 273 3 2 2" xfId="23276" xr:uid="{00000000-0005-0000-0000-0000EC5A0000}"/>
    <cellStyle name="Normal 273 3 2 2 2" xfId="23277" xr:uid="{00000000-0005-0000-0000-0000ED5A0000}"/>
    <cellStyle name="Normal 273 3 2 3" xfId="23278" xr:uid="{00000000-0005-0000-0000-0000EE5A0000}"/>
    <cellStyle name="Normal 273 3 2 3 2" xfId="23279" xr:uid="{00000000-0005-0000-0000-0000EF5A0000}"/>
    <cellStyle name="Normal 273 3 2 3 2 2" xfId="23280" xr:uid="{00000000-0005-0000-0000-0000F05A0000}"/>
    <cellStyle name="Normal 273 3 2 3 3" xfId="23281" xr:uid="{00000000-0005-0000-0000-0000F15A0000}"/>
    <cellStyle name="Normal 273 3 2 4" xfId="23282" xr:uid="{00000000-0005-0000-0000-0000F25A0000}"/>
    <cellStyle name="Normal 273 3 3" xfId="23283" xr:uid="{00000000-0005-0000-0000-0000F35A0000}"/>
    <cellStyle name="Normal 273 3 3 2" xfId="23284" xr:uid="{00000000-0005-0000-0000-0000F45A0000}"/>
    <cellStyle name="Normal 273 3 3 2 2" xfId="23285" xr:uid="{00000000-0005-0000-0000-0000F55A0000}"/>
    <cellStyle name="Normal 273 3 3 3" xfId="23286" xr:uid="{00000000-0005-0000-0000-0000F65A0000}"/>
    <cellStyle name="Normal 273 3 4" xfId="23287" xr:uid="{00000000-0005-0000-0000-0000F75A0000}"/>
    <cellStyle name="Normal 273 3 4 2" xfId="23288" xr:uid="{00000000-0005-0000-0000-0000F85A0000}"/>
    <cellStyle name="Normal 273 3 4 2 2" xfId="23289" xr:uid="{00000000-0005-0000-0000-0000F95A0000}"/>
    <cellStyle name="Normal 273 3 4 3" xfId="23290" xr:uid="{00000000-0005-0000-0000-0000FA5A0000}"/>
    <cellStyle name="Normal 273 3 5" xfId="23291" xr:uid="{00000000-0005-0000-0000-0000FB5A0000}"/>
    <cellStyle name="Normal 273 3 5 2" xfId="23292" xr:uid="{00000000-0005-0000-0000-0000FC5A0000}"/>
    <cellStyle name="Normal 273 3 5 2 2" xfId="23293" xr:uid="{00000000-0005-0000-0000-0000FD5A0000}"/>
    <cellStyle name="Normal 273 3 5 3" xfId="23294" xr:uid="{00000000-0005-0000-0000-0000FE5A0000}"/>
    <cellStyle name="Normal 273 3 6" xfId="23295" xr:uid="{00000000-0005-0000-0000-0000FF5A0000}"/>
    <cellStyle name="Normal 273 4" xfId="23296" xr:uid="{00000000-0005-0000-0000-0000005B0000}"/>
    <cellStyle name="Normal 273 4 2" xfId="23297" xr:uid="{00000000-0005-0000-0000-0000015B0000}"/>
    <cellStyle name="Normal 273 4 2 2" xfId="23298" xr:uid="{00000000-0005-0000-0000-0000025B0000}"/>
    <cellStyle name="Normal 273 4 3" xfId="23299" xr:uid="{00000000-0005-0000-0000-0000035B0000}"/>
    <cellStyle name="Normal 273 5" xfId="23300" xr:uid="{00000000-0005-0000-0000-0000045B0000}"/>
    <cellStyle name="Normal 273 5 2" xfId="23301" xr:uid="{00000000-0005-0000-0000-0000055B0000}"/>
    <cellStyle name="Normal 273 5 2 2" xfId="23302" xr:uid="{00000000-0005-0000-0000-0000065B0000}"/>
    <cellStyle name="Normal 273 5 3" xfId="23303" xr:uid="{00000000-0005-0000-0000-0000075B0000}"/>
    <cellStyle name="Normal 273 6" xfId="23304" xr:uid="{00000000-0005-0000-0000-0000085B0000}"/>
    <cellStyle name="Normal 273 6 2" xfId="23305" xr:uid="{00000000-0005-0000-0000-0000095B0000}"/>
    <cellStyle name="Normal 273 6 2 2" xfId="23306" xr:uid="{00000000-0005-0000-0000-00000A5B0000}"/>
    <cellStyle name="Normal 273 6 3" xfId="23307" xr:uid="{00000000-0005-0000-0000-00000B5B0000}"/>
    <cellStyle name="Normal 273 7" xfId="23308" xr:uid="{00000000-0005-0000-0000-00000C5B0000}"/>
    <cellStyle name="Normal 274" xfId="23309" xr:uid="{00000000-0005-0000-0000-00000D5B0000}"/>
    <cellStyle name="Normal 274 2" xfId="23310" xr:uid="{00000000-0005-0000-0000-00000E5B0000}"/>
    <cellStyle name="Normal 274 2 2" xfId="23311" xr:uid="{00000000-0005-0000-0000-00000F5B0000}"/>
    <cellStyle name="Normal 274 2 2 2" xfId="23312" xr:uid="{00000000-0005-0000-0000-0000105B0000}"/>
    <cellStyle name="Normal 274 2 3" xfId="23313" xr:uid="{00000000-0005-0000-0000-0000115B0000}"/>
    <cellStyle name="Normal 274 2 3 2" xfId="23314" xr:uid="{00000000-0005-0000-0000-0000125B0000}"/>
    <cellStyle name="Normal 274 2 3 2 2" xfId="23315" xr:uid="{00000000-0005-0000-0000-0000135B0000}"/>
    <cellStyle name="Normal 274 2 3 3" xfId="23316" xr:uid="{00000000-0005-0000-0000-0000145B0000}"/>
    <cellStyle name="Normal 274 2 4" xfId="23317" xr:uid="{00000000-0005-0000-0000-0000155B0000}"/>
    <cellStyle name="Normal 274 2 4 2" xfId="23318" xr:uid="{00000000-0005-0000-0000-0000165B0000}"/>
    <cellStyle name="Normal 274 2 4 2 2" xfId="23319" xr:uid="{00000000-0005-0000-0000-0000175B0000}"/>
    <cellStyle name="Normal 274 2 4 3" xfId="23320" xr:uid="{00000000-0005-0000-0000-0000185B0000}"/>
    <cellStyle name="Normal 274 2 5" xfId="23321" xr:uid="{00000000-0005-0000-0000-0000195B0000}"/>
    <cellStyle name="Normal 274 3" xfId="23322" xr:uid="{00000000-0005-0000-0000-00001A5B0000}"/>
    <cellStyle name="Normal 274 3 2" xfId="23323" xr:uid="{00000000-0005-0000-0000-00001B5B0000}"/>
    <cellStyle name="Normal 274 3 2 2" xfId="23324" xr:uid="{00000000-0005-0000-0000-00001C5B0000}"/>
    <cellStyle name="Normal 274 3 2 2 2" xfId="23325" xr:uid="{00000000-0005-0000-0000-00001D5B0000}"/>
    <cellStyle name="Normal 274 3 2 3" xfId="23326" xr:uid="{00000000-0005-0000-0000-00001E5B0000}"/>
    <cellStyle name="Normal 274 3 2 3 2" xfId="23327" xr:uid="{00000000-0005-0000-0000-00001F5B0000}"/>
    <cellStyle name="Normal 274 3 2 3 2 2" xfId="23328" xr:uid="{00000000-0005-0000-0000-0000205B0000}"/>
    <cellStyle name="Normal 274 3 2 3 3" xfId="23329" xr:uid="{00000000-0005-0000-0000-0000215B0000}"/>
    <cellStyle name="Normal 274 3 2 4" xfId="23330" xr:uid="{00000000-0005-0000-0000-0000225B0000}"/>
    <cellStyle name="Normal 274 3 3" xfId="23331" xr:uid="{00000000-0005-0000-0000-0000235B0000}"/>
    <cellStyle name="Normal 274 3 3 2" xfId="23332" xr:uid="{00000000-0005-0000-0000-0000245B0000}"/>
    <cellStyle name="Normal 274 3 3 2 2" xfId="23333" xr:uid="{00000000-0005-0000-0000-0000255B0000}"/>
    <cellStyle name="Normal 274 3 3 3" xfId="23334" xr:uid="{00000000-0005-0000-0000-0000265B0000}"/>
    <cellStyle name="Normal 274 3 4" xfId="23335" xr:uid="{00000000-0005-0000-0000-0000275B0000}"/>
    <cellStyle name="Normal 274 3 4 2" xfId="23336" xr:uid="{00000000-0005-0000-0000-0000285B0000}"/>
    <cellStyle name="Normal 274 3 4 2 2" xfId="23337" xr:uid="{00000000-0005-0000-0000-0000295B0000}"/>
    <cellStyle name="Normal 274 3 4 3" xfId="23338" xr:uid="{00000000-0005-0000-0000-00002A5B0000}"/>
    <cellStyle name="Normal 274 3 5" xfId="23339" xr:uid="{00000000-0005-0000-0000-00002B5B0000}"/>
    <cellStyle name="Normal 274 3 5 2" xfId="23340" xr:uid="{00000000-0005-0000-0000-00002C5B0000}"/>
    <cellStyle name="Normal 274 3 5 2 2" xfId="23341" xr:uid="{00000000-0005-0000-0000-00002D5B0000}"/>
    <cellStyle name="Normal 274 3 5 3" xfId="23342" xr:uid="{00000000-0005-0000-0000-00002E5B0000}"/>
    <cellStyle name="Normal 274 3 6" xfId="23343" xr:uid="{00000000-0005-0000-0000-00002F5B0000}"/>
    <cellStyle name="Normal 274 4" xfId="23344" xr:uid="{00000000-0005-0000-0000-0000305B0000}"/>
    <cellStyle name="Normal 274 4 2" xfId="23345" xr:uid="{00000000-0005-0000-0000-0000315B0000}"/>
    <cellStyle name="Normal 274 4 2 2" xfId="23346" xr:uid="{00000000-0005-0000-0000-0000325B0000}"/>
    <cellStyle name="Normal 274 4 3" xfId="23347" xr:uid="{00000000-0005-0000-0000-0000335B0000}"/>
    <cellStyle name="Normal 274 5" xfId="23348" xr:uid="{00000000-0005-0000-0000-0000345B0000}"/>
    <cellStyle name="Normal 274 5 2" xfId="23349" xr:uid="{00000000-0005-0000-0000-0000355B0000}"/>
    <cellStyle name="Normal 274 5 2 2" xfId="23350" xr:uid="{00000000-0005-0000-0000-0000365B0000}"/>
    <cellStyle name="Normal 274 5 3" xfId="23351" xr:uid="{00000000-0005-0000-0000-0000375B0000}"/>
    <cellStyle name="Normal 274 6" xfId="23352" xr:uid="{00000000-0005-0000-0000-0000385B0000}"/>
    <cellStyle name="Normal 274 6 2" xfId="23353" xr:uid="{00000000-0005-0000-0000-0000395B0000}"/>
    <cellStyle name="Normal 274 6 2 2" xfId="23354" xr:uid="{00000000-0005-0000-0000-00003A5B0000}"/>
    <cellStyle name="Normal 274 6 3" xfId="23355" xr:uid="{00000000-0005-0000-0000-00003B5B0000}"/>
    <cellStyle name="Normal 274 7" xfId="23356" xr:uid="{00000000-0005-0000-0000-00003C5B0000}"/>
    <cellStyle name="Normal 275" xfId="23357" xr:uid="{00000000-0005-0000-0000-00003D5B0000}"/>
    <cellStyle name="Normal 275 2" xfId="23358" xr:uid="{00000000-0005-0000-0000-00003E5B0000}"/>
    <cellStyle name="Normal 275 2 2" xfId="23359" xr:uid="{00000000-0005-0000-0000-00003F5B0000}"/>
    <cellStyle name="Normal 275 2 2 2" xfId="23360" xr:uid="{00000000-0005-0000-0000-0000405B0000}"/>
    <cellStyle name="Normal 275 2 3" xfId="23361" xr:uid="{00000000-0005-0000-0000-0000415B0000}"/>
    <cellStyle name="Normal 275 2 3 2" xfId="23362" xr:uid="{00000000-0005-0000-0000-0000425B0000}"/>
    <cellStyle name="Normal 275 2 3 2 2" xfId="23363" xr:uid="{00000000-0005-0000-0000-0000435B0000}"/>
    <cellStyle name="Normal 275 2 3 3" xfId="23364" xr:uid="{00000000-0005-0000-0000-0000445B0000}"/>
    <cellStyle name="Normal 275 2 4" xfId="23365" xr:uid="{00000000-0005-0000-0000-0000455B0000}"/>
    <cellStyle name="Normal 275 2 4 2" xfId="23366" xr:uid="{00000000-0005-0000-0000-0000465B0000}"/>
    <cellStyle name="Normal 275 2 4 2 2" xfId="23367" xr:uid="{00000000-0005-0000-0000-0000475B0000}"/>
    <cellStyle name="Normal 275 2 4 3" xfId="23368" xr:uid="{00000000-0005-0000-0000-0000485B0000}"/>
    <cellStyle name="Normal 275 2 5" xfId="23369" xr:uid="{00000000-0005-0000-0000-0000495B0000}"/>
    <cellStyle name="Normal 275 3" xfId="23370" xr:uid="{00000000-0005-0000-0000-00004A5B0000}"/>
    <cellStyle name="Normal 275 3 2" xfId="23371" xr:uid="{00000000-0005-0000-0000-00004B5B0000}"/>
    <cellStyle name="Normal 275 3 2 2" xfId="23372" xr:uid="{00000000-0005-0000-0000-00004C5B0000}"/>
    <cellStyle name="Normal 275 3 2 2 2" xfId="23373" xr:uid="{00000000-0005-0000-0000-00004D5B0000}"/>
    <cellStyle name="Normal 275 3 2 3" xfId="23374" xr:uid="{00000000-0005-0000-0000-00004E5B0000}"/>
    <cellStyle name="Normal 275 3 2 3 2" xfId="23375" xr:uid="{00000000-0005-0000-0000-00004F5B0000}"/>
    <cellStyle name="Normal 275 3 2 3 2 2" xfId="23376" xr:uid="{00000000-0005-0000-0000-0000505B0000}"/>
    <cellStyle name="Normal 275 3 2 3 3" xfId="23377" xr:uid="{00000000-0005-0000-0000-0000515B0000}"/>
    <cellStyle name="Normal 275 3 2 4" xfId="23378" xr:uid="{00000000-0005-0000-0000-0000525B0000}"/>
    <cellStyle name="Normal 275 3 3" xfId="23379" xr:uid="{00000000-0005-0000-0000-0000535B0000}"/>
    <cellStyle name="Normal 275 3 3 2" xfId="23380" xr:uid="{00000000-0005-0000-0000-0000545B0000}"/>
    <cellStyle name="Normal 275 3 3 2 2" xfId="23381" xr:uid="{00000000-0005-0000-0000-0000555B0000}"/>
    <cellStyle name="Normal 275 3 3 3" xfId="23382" xr:uid="{00000000-0005-0000-0000-0000565B0000}"/>
    <cellStyle name="Normal 275 3 4" xfId="23383" xr:uid="{00000000-0005-0000-0000-0000575B0000}"/>
    <cellStyle name="Normal 275 3 4 2" xfId="23384" xr:uid="{00000000-0005-0000-0000-0000585B0000}"/>
    <cellStyle name="Normal 275 3 4 2 2" xfId="23385" xr:uid="{00000000-0005-0000-0000-0000595B0000}"/>
    <cellStyle name="Normal 275 3 4 3" xfId="23386" xr:uid="{00000000-0005-0000-0000-00005A5B0000}"/>
    <cellStyle name="Normal 275 3 5" xfId="23387" xr:uid="{00000000-0005-0000-0000-00005B5B0000}"/>
    <cellStyle name="Normal 275 3 5 2" xfId="23388" xr:uid="{00000000-0005-0000-0000-00005C5B0000}"/>
    <cellStyle name="Normal 275 3 5 2 2" xfId="23389" xr:uid="{00000000-0005-0000-0000-00005D5B0000}"/>
    <cellStyle name="Normal 275 3 5 3" xfId="23390" xr:uid="{00000000-0005-0000-0000-00005E5B0000}"/>
    <cellStyle name="Normal 275 3 6" xfId="23391" xr:uid="{00000000-0005-0000-0000-00005F5B0000}"/>
    <cellStyle name="Normal 275 4" xfId="23392" xr:uid="{00000000-0005-0000-0000-0000605B0000}"/>
    <cellStyle name="Normal 275 4 2" xfId="23393" xr:uid="{00000000-0005-0000-0000-0000615B0000}"/>
    <cellStyle name="Normal 275 4 2 2" xfId="23394" xr:uid="{00000000-0005-0000-0000-0000625B0000}"/>
    <cellStyle name="Normal 275 4 3" xfId="23395" xr:uid="{00000000-0005-0000-0000-0000635B0000}"/>
    <cellStyle name="Normal 275 5" xfId="23396" xr:uid="{00000000-0005-0000-0000-0000645B0000}"/>
    <cellStyle name="Normal 275 5 2" xfId="23397" xr:uid="{00000000-0005-0000-0000-0000655B0000}"/>
    <cellStyle name="Normal 275 5 2 2" xfId="23398" xr:uid="{00000000-0005-0000-0000-0000665B0000}"/>
    <cellStyle name="Normal 275 5 3" xfId="23399" xr:uid="{00000000-0005-0000-0000-0000675B0000}"/>
    <cellStyle name="Normal 275 6" xfId="23400" xr:uid="{00000000-0005-0000-0000-0000685B0000}"/>
    <cellStyle name="Normal 275 6 2" xfId="23401" xr:uid="{00000000-0005-0000-0000-0000695B0000}"/>
    <cellStyle name="Normal 275 6 2 2" xfId="23402" xr:uid="{00000000-0005-0000-0000-00006A5B0000}"/>
    <cellStyle name="Normal 275 6 3" xfId="23403" xr:uid="{00000000-0005-0000-0000-00006B5B0000}"/>
    <cellStyle name="Normal 275 7" xfId="23404" xr:uid="{00000000-0005-0000-0000-00006C5B0000}"/>
    <cellStyle name="Normal 276" xfId="23405" xr:uid="{00000000-0005-0000-0000-00006D5B0000}"/>
    <cellStyle name="Normal 276 2" xfId="23406" xr:uid="{00000000-0005-0000-0000-00006E5B0000}"/>
    <cellStyle name="Normal 276 2 2" xfId="23407" xr:uid="{00000000-0005-0000-0000-00006F5B0000}"/>
    <cellStyle name="Normal 276 2 2 2" xfId="23408" xr:uid="{00000000-0005-0000-0000-0000705B0000}"/>
    <cellStyle name="Normal 276 2 3" xfId="23409" xr:uid="{00000000-0005-0000-0000-0000715B0000}"/>
    <cellStyle name="Normal 276 2 3 2" xfId="23410" xr:uid="{00000000-0005-0000-0000-0000725B0000}"/>
    <cellStyle name="Normal 276 2 3 2 2" xfId="23411" xr:uid="{00000000-0005-0000-0000-0000735B0000}"/>
    <cellStyle name="Normal 276 2 3 3" xfId="23412" xr:uid="{00000000-0005-0000-0000-0000745B0000}"/>
    <cellStyle name="Normal 276 2 4" xfId="23413" xr:uid="{00000000-0005-0000-0000-0000755B0000}"/>
    <cellStyle name="Normal 276 2 4 2" xfId="23414" xr:uid="{00000000-0005-0000-0000-0000765B0000}"/>
    <cellStyle name="Normal 276 2 4 2 2" xfId="23415" xr:uid="{00000000-0005-0000-0000-0000775B0000}"/>
    <cellStyle name="Normal 276 2 4 3" xfId="23416" xr:uid="{00000000-0005-0000-0000-0000785B0000}"/>
    <cellStyle name="Normal 276 2 5" xfId="23417" xr:uid="{00000000-0005-0000-0000-0000795B0000}"/>
    <cellStyle name="Normal 276 3" xfId="23418" xr:uid="{00000000-0005-0000-0000-00007A5B0000}"/>
    <cellStyle name="Normal 276 3 2" xfId="23419" xr:uid="{00000000-0005-0000-0000-00007B5B0000}"/>
    <cellStyle name="Normal 276 3 2 2" xfId="23420" xr:uid="{00000000-0005-0000-0000-00007C5B0000}"/>
    <cellStyle name="Normal 276 3 2 2 2" xfId="23421" xr:uid="{00000000-0005-0000-0000-00007D5B0000}"/>
    <cellStyle name="Normal 276 3 2 3" xfId="23422" xr:uid="{00000000-0005-0000-0000-00007E5B0000}"/>
    <cellStyle name="Normal 276 3 2 3 2" xfId="23423" xr:uid="{00000000-0005-0000-0000-00007F5B0000}"/>
    <cellStyle name="Normal 276 3 2 3 2 2" xfId="23424" xr:uid="{00000000-0005-0000-0000-0000805B0000}"/>
    <cellStyle name="Normal 276 3 2 3 3" xfId="23425" xr:uid="{00000000-0005-0000-0000-0000815B0000}"/>
    <cellStyle name="Normal 276 3 2 4" xfId="23426" xr:uid="{00000000-0005-0000-0000-0000825B0000}"/>
    <cellStyle name="Normal 276 3 3" xfId="23427" xr:uid="{00000000-0005-0000-0000-0000835B0000}"/>
    <cellStyle name="Normal 276 3 3 2" xfId="23428" xr:uid="{00000000-0005-0000-0000-0000845B0000}"/>
    <cellStyle name="Normal 276 3 3 2 2" xfId="23429" xr:uid="{00000000-0005-0000-0000-0000855B0000}"/>
    <cellStyle name="Normal 276 3 3 3" xfId="23430" xr:uid="{00000000-0005-0000-0000-0000865B0000}"/>
    <cellStyle name="Normal 276 3 4" xfId="23431" xr:uid="{00000000-0005-0000-0000-0000875B0000}"/>
    <cellStyle name="Normal 276 3 4 2" xfId="23432" xr:uid="{00000000-0005-0000-0000-0000885B0000}"/>
    <cellStyle name="Normal 276 3 4 2 2" xfId="23433" xr:uid="{00000000-0005-0000-0000-0000895B0000}"/>
    <cellStyle name="Normal 276 3 4 3" xfId="23434" xr:uid="{00000000-0005-0000-0000-00008A5B0000}"/>
    <cellStyle name="Normal 276 3 5" xfId="23435" xr:uid="{00000000-0005-0000-0000-00008B5B0000}"/>
    <cellStyle name="Normal 276 3 5 2" xfId="23436" xr:uid="{00000000-0005-0000-0000-00008C5B0000}"/>
    <cellStyle name="Normal 276 3 5 2 2" xfId="23437" xr:uid="{00000000-0005-0000-0000-00008D5B0000}"/>
    <cellStyle name="Normal 276 3 5 3" xfId="23438" xr:uid="{00000000-0005-0000-0000-00008E5B0000}"/>
    <cellStyle name="Normal 276 3 6" xfId="23439" xr:uid="{00000000-0005-0000-0000-00008F5B0000}"/>
    <cellStyle name="Normal 276 4" xfId="23440" xr:uid="{00000000-0005-0000-0000-0000905B0000}"/>
    <cellStyle name="Normal 276 4 2" xfId="23441" xr:uid="{00000000-0005-0000-0000-0000915B0000}"/>
    <cellStyle name="Normal 276 4 2 2" xfId="23442" xr:uid="{00000000-0005-0000-0000-0000925B0000}"/>
    <cellStyle name="Normal 276 4 3" xfId="23443" xr:uid="{00000000-0005-0000-0000-0000935B0000}"/>
    <cellStyle name="Normal 276 5" xfId="23444" xr:uid="{00000000-0005-0000-0000-0000945B0000}"/>
    <cellStyle name="Normal 276 5 2" xfId="23445" xr:uid="{00000000-0005-0000-0000-0000955B0000}"/>
    <cellStyle name="Normal 276 5 2 2" xfId="23446" xr:uid="{00000000-0005-0000-0000-0000965B0000}"/>
    <cellStyle name="Normal 276 5 3" xfId="23447" xr:uid="{00000000-0005-0000-0000-0000975B0000}"/>
    <cellStyle name="Normal 276 6" xfId="23448" xr:uid="{00000000-0005-0000-0000-0000985B0000}"/>
    <cellStyle name="Normal 276 6 2" xfId="23449" xr:uid="{00000000-0005-0000-0000-0000995B0000}"/>
    <cellStyle name="Normal 276 6 2 2" xfId="23450" xr:uid="{00000000-0005-0000-0000-00009A5B0000}"/>
    <cellStyle name="Normal 276 6 3" xfId="23451" xr:uid="{00000000-0005-0000-0000-00009B5B0000}"/>
    <cellStyle name="Normal 276 7" xfId="23452" xr:uid="{00000000-0005-0000-0000-00009C5B0000}"/>
    <cellStyle name="Normal 277" xfId="23453" xr:uid="{00000000-0005-0000-0000-00009D5B0000}"/>
    <cellStyle name="Normal 277 2" xfId="23454" xr:uid="{00000000-0005-0000-0000-00009E5B0000}"/>
    <cellStyle name="Normal 277 2 2" xfId="23455" xr:uid="{00000000-0005-0000-0000-00009F5B0000}"/>
    <cellStyle name="Normal 277 2 2 2" xfId="23456" xr:uid="{00000000-0005-0000-0000-0000A05B0000}"/>
    <cellStyle name="Normal 277 2 3" xfId="23457" xr:uid="{00000000-0005-0000-0000-0000A15B0000}"/>
    <cellStyle name="Normal 277 2 3 2" xfId="23458" xr:uid="{00000000-0005-0000-0000-0000A25B0000}"/>
    <cellStyle name="Normal 277 2 3 2 2" xfId="23459" xr:uid="{00000000-0005-0000-0000-0000A35B0000}"/>
    <cellStyle name="Normal 277 2 3 3" xfId="23460" xr:uid="{00000000-0005-0000-0000-0000A45B0000}"/>
    <cellStyle name="Normal 277 2 4" xfId="23461" xr:uid="{00000000-0005-0000-0000-0000A55B0000}"/>
    <cellStyle name="Normal 277 2 4 2" xfId="23462" xr:uid="{00000000-0005-0000-0000-0000A65B0000}"/>
    <cellStyle name="Normal 277 2 4 2 2" xfId="23463" xr:uid="{00000000-0005-0000-0000-0000A75B0000}"/>
    <cellStyle name="Normal 277 2 4 3" xfId="23464" xr:uid="{00000000-0005-0000-0000-0000A85B0000}"/>
    <cellStyle name="Normal 277 2 5" xfId="23465" xr:uid="{00000000-0005-0000-0000-0000A95B0000}"/>
    <cellStyle name="Normal 277 3" xfId="23466" xr:uid="{00000000-0005-0000-0000-0000AA5B0000}"/>
    <cellStyle name="Normal 277 3 2" xfId="23467" xr:uid="{00000000-0005-0000-0000-0000AB5B0000}"/>
    <cellStyle name="Normal 277 3 2 2" xfId="23468" xr:uid="{00000000-0005-0000-0000-0000AC5B0000}"/>
    <cellStyle name="Normal 277 3 2 2 2" xfId="23469" xr:uid="{00000000-0005-0000-0000-0000AD5B0000}"/>
    <cellStyle name="Normal 277 3 2 3" xfId="23470" xr:uid="{00000000-0005-0000-0000-0000AE5B0000}"/>
    <cellStyle name="Normal 277 3 2 3 2" xfId="23471" xr:uid="{00000000-0005-0000-0000-0000AF5B0000}"/>
    <cellStyle name="Normal 277 3 2 3 2 2" xfId="23472" xr:uid="{00000000-0005-0000-0000-0000B05B0000}"/>
    <cellStyle name="Normal 277 3 2 3 3" xfId="23473" xr:uid="{00000000-0005-0000-0000-0000B15B0000}"/>
    <cellStyle name="Normal 277 3 2 4" xfId="23474" xr:uid="{00000000-0005-0000-0000-0000B25B0000}"/>
    <cellStyle name="Normal 277 3 3" xfId="23475" xr:uid="{00000000-0005-0000-0000-0000B35B0000}"/>
    <cellStyle name="Normal 277 3 3 2" xfId="23476" xr:uid="{00000000-0005-0000-0000-0000B45B0000}"/>
    <cellStyle name="Normal 277 3 3 2 2" xfId="23477" xr:uid="{00000000-0005-0000-0000-0000B55B0000}"/>
    <cellStyle name="Normal 277 3 3 3" xfId="23478" xr:uid="{00000000-0005-0000-0000-0000B65B0000}"/>
    <cellStyle name="Normal 277 3 4" xfId="23479" xr:uid="{00000000-0005-0000-0000-0000B75B0000}"/>
    <cellStyle name="Normal 277 3 4 2" xfId="23480" xr:uid="{00000000-0005-0000-0000-0000B85B0000}"/>
    <cellStyle name="Normal 277 3 4 2 2" xfId="23481" xr:uid="{00000000-0005-0000-0000-0000B95B0000}"/>
    <cellStyle name="Normal 277 3 4 3" xfId="23482" xr:uid="{00000000-0005-0000-0000-0000BA5B0000}"/>
    <cellStyle name="Normal 277 3 5" xfId="23483" xr:uid="{00000000-0005-0000-0000-0000BB5B0000}"/>
    <cellStyle name="Normal 277 3 5 2" xfId="23484" xr:uid="{00000000-0005-0000-0000-0000BC5B0000}"/>
    <cellStyle name="Normal 277 3 5 2 2" xfId="23485" xr:uid="{00000000-0005-0000-0000-0000BD5B0000}"/>
    <cellStyle name="Normal 277 3 5 3" xfId="23486" xr:uid="{00000000-0005-0000-0000-0000BE5B0000}"/>
    <cellStyle name="Normal 277 3 6" xfId="23487" xr:uid="{00000000-0005-0000-0000-0000BF5B0000}"/>
    <cellStyle name="Normal 277 4" xfId="23488" xr:uid="{00000000-0005-0000-0000-0000C05B0000}"/>
    <cellStyle name="Normal 277 4 2" xfId="23489" xr:uid="{00000000-0005-0000-0000-0000C15B0000}"/>
    <cellStyle name="Normal 277 4 2 2" xfId="23490" xr:uid="{00000000-0005-0000-0000-0000C25B0000}"/>
    <cellStyle name="Normal 277 4 3" xfId="23491" xr:uid="{00000000-0005-0000-0000-0000C35B0000}"/>
    <cellStyle name="Normal 277 5" xfId="23492" xr:uid="{00000000-0005-0000-0000-0000C45B0000}"/>
    <cellStyle name="Normal 277 5 2" xfId="23493" xr:uid="{00000000-0005-0000-0000-0000C55B0000}"/>
    <cellStyle name="Normal 277 5 2 2" xfId="23494" xr:uid="{00000000-0005-0000-0000-0000C65B0000}"/>
    <cellStyle name="Normal 277 5 3" xfId="23495" xr:uid="{00000000-0005-0000-0000-0000C75B0000}"/>
    <cellStyle name="Normal 277 6" xfId="23496" xr:uid="{00000000-0005-0000-0000-0000C85B0000}"/>
    <cellStyle name="Normal 277 6 2" xfId="23497" xr:uid="{00000000-0005-0000-0000-0000C95B0000}"/>
    <cellStyle name="Normal 277 6 2 2" xfId="23498" xr:uid="{00000000-0005-0000-0000-0000CA5B0000}"/>
    <cellStyle name="Normal 277 6 3" xfId="23499" xr:uid="{00000000-0005-0000-0000-0000CB5B0000}"/>
    <cellStyle name="Normal 277 7" xfId="23500" xr:uid="{00000000-0005-0000-0000-0000CC5B0000}"/>
    <cellStyle name="Normal 278" xfId="23501" xr:uid="{00000000-0005-0000-0000-0000CD5B0000}"/>
    <cellStyle name="Normal 278 2" xfId="23502" xr:uid="{00000000-0005-0000-0000-0000CE5B0000}"/>
    <cellStyle name="Normal 278 2 2" xfId="23503" xr:uid="{00000000-0005-0000-0000-0000CF5B0000}"/>
    <cellStyle name="Normal 278 2 2 2" xfId="23504" xr:uid="{00000000-0005-0000-0000-0000D05B0000}"/>
    <cellStyle name="Normal 278 2 3" xfId="23505" xr:uid="{00000000-0005-0000-0000-0000D15B0000}"/>
    <cellStyle name="Normal 278 2 3 2" xfId="23506" xr:uid="{00000000-0005-0000-0000-0000D25B0000}"/>
    <cellStyle name="Normal 278 2 3 2 2" xfId="23507" xr:uid="{00000000-0005-0000-0000-0000D35B0000}"/>
    <cellStyle name="Normal 278 2 3 3" xfId="23508" xr:uid="{00000000-0005-0000-0000-0000D45B0000}"/>
    <cellStyle name="Normal 278 2 4" xfId="23509" xr:uid="{00000000-0005-0000-0000-0000D55B0000}"/>
    <cellStyle name="Normal 278 2 4 2" xfId="23510" xr:uid="{00000000-0005-0000-0000-0000D65B0000}"/>
    <cellStyle name="Normal 278 2 4 2 2" xfId="23511" xr:uid="{00000000-0005-0000-0000-0000D75B0000}"/>
    <cellStyle name="Normal 278 2 4 3" xfId="23512" xr:uid="{00000000-0005-0000-0000-0000D85B0000}"/>
    <cellStyle name="Normal 278 2 5" xfId="23513" xr:uid="{00000000-0005-0000-0000-0000D95B0000}"/>
    <cellStyle name="Normal 278 3" xfId="23514" xr:uid="{00000000-0005-0000-0000-0000DA5B0000}"/>
    <cellStyle name="Normal 278 3 2" xfId="23515" xr:uid="{00000000-0005-0000-0000-0000DB5B0000}"/>
    <cellStyle name="Normal 278 3 2 2" xfId="23516" xr:uid="{00000000-0005-0000-0000-0000DC5B0000}"/>
    <cellStyle name="Normal 278 3 2 2 2" xfId="23517" xr:uid="{00000000-0005-0000-0000-0000DD5B0000}"/>
    <cellStyle name="Normal 278 3 2 3" xfId="23518" xr:uid="{00000000-0005-0000-0000-0000DE5B0000}"/>
    <cellStyle name="Normal 278 3 2 3 2" xfId="23519" xr:uid="{00000000-0005-0000-0000-0000DF5B0000}"/>
    <cellStyle name="Normal 278 3 2 3 2 2" xfId="23520" xr:uid="{00000000-0005-0000-0000-0000E05B0000}"/>
    <cellStyle name="Normal 278 3 2 3 3" xfId="23521" xr:uid="{00000000-0005-0000-0000-0000E15B0000}"/>
    <cellStyle name="Normal 278 3 2 4" xfId="23522" xr:uid="{00000000-0005-0000-0000-0000E25B0000}"/>
    <cellStyle name="Normal 278 3 3" xfId="23523" xr:uid="{00000000-0005-0000-0000-0000E35B0000}"/>
    <cellStyle name="Normal 278 3 3 2" xfId="23524" xr:uid="{00000000-0005-0000-0000-0000E45B0000}"/>
    <cellStyle name="Normal 278 3 3 2 2" xfId="23525" xr:uid="{00000000-0005-0000-0000-0000E55B0000}"/>
    <cellStyle name="Normal 278 3 3 3" xfId="23526" xr:uid="{00000000-0005-0000-0000-0000E65B0000}"/>
    <cellStyle name="Normal 278 3 4" xfId="23527" xr:uid="{00000000-0005-0000-0000-0000E75B0000}"/>
    <cellStyle name="Normal 278 3 4 2" xfId="23528" xr:uid="{00000000-0005-0000-0000-0000E85B0000}"/>
    <cellStyle name="Normal 278 3 4 2 2" xfId="23529" xr:uid="{00000000-0005-0000-0000-0000E95B0000}"/>
    <cellStyle name="Normal 278 3 4 3" xfId="23530" xr:uid="{00000000-0005-0000-0000-0000EA5B0000}"/>
    <cellStyle name="Normal 278 3 5" xfId="23531" xr:uid="{00000000-0005-0000-0000-0000EB5B0000}"/>
    <cellStyle name="Normal 278 3 5 2" xfId="23532" xr:uid="{00000000-0005-0000-0000-0000EC5B0000}"/>
    <cellStyle name="Normal 278 3 5 2 2" xfId="23533" xr:uid="{00000000-0005-0000-0000-0000ED5B0000}"/>
    <cellStyle name="Normal 278 3 5 3" xfId="23534" xr:uid="{00000000-0005-0000-0000-0000EE5B0000}"/>
    <cellStyle name="Normal 278 3 6" xfId="23535" xr:uid="{00000000-0005-0000-0000-0000EF5B0000}"/>
    <cellStyle name="Normal 278 4" xfId="23536" xr:uid="{00000000-0005-0000-0000-0000F05B0000}"/>
    <cellStyle name="Normal 278 4 2" xfId="23537" xr:uid="{00000000-0005-0000-0000-0000F15B0000}"/>
    <cellStyle name="Normal 278 4 2 2" xfId="23538" xr:uid="{00000000-0005-0000-0000-0000F25B0000}"/>
    <cellStyle name="Normal 278 4 3" xfId="23539" xr:uid="{00000000-0005-0000-0000-0000F35B0000}"/>
    <cellStyle name="Normal 278 5" xfId="23540" xr:uid="{00000000-0005-0000-0000-0000F45B0000}"/>
    <cellStyle name="Normal 278 5 2" xfId="23541" xr:uid="{00000000-0005-0000-0000-0000F55B0000}"/>
    <cellStyle name="Normal 278 5 2 2" xfId="23542" xr:uid="{00000000-0005-0000-0000-0000F65B0000}"/>
    <cellStyle name="Normal 278 5 3" xfId="23543" xr:uid="{00000000-0005-0000-0000-0000F75B0000}"/>
    <cellStyle name="Normal 278 6" xfId="23544" xr:uid="{00000000-0005-0000-0000-0000F85B0000}"/>
    <cellStyle name="Normal 278 6 2" xfId="23545" xr:uid="{00000000-0005-0000-0000-0000F95B0000}"/>
    <cellStyle name="Normal 278 6 2 2" xfId="23546" xr:uid="{00000000-0005-0000-0000-0000FA5B0000}"/>
    <cellStyle name="Normal 278 6 3" xfId="23547" xr:uid="{00000000-0005-0000-0000-0000FB5B0000}"/>
    <cellStyle name="Normal 278 7" xfId="23548" xr:uid="{00000000-0005-0000-0000-0000FC5B0000}"/>
    <cellStyle name="Normal 279" xfId="23549" xr:uid="{00000000-0005-0000-0000-0000FD5B0000}"/>
    <cellStyle name="Normal 279 2" xfId="23550" xr:uid="{00000000-0005-0000-0000-0000FE5B0000}"/>
    <cellStyle name="Normal 279 2 2" xfId="23551" xr:uid="{00000000-0005-0000-0000-0000FF5B0000}"/>
    <cellStyle name="Normal 279 2 2 2" xfId="23552" xr:uid="{00000000-0005-0000-0000-0000005C0000}"/>
    <cellStyle name="Normal 279 2 3" xfId="23553" xr:uid="{00000000-0005-0000-0000-0000015C0000}"/>
    <cellStyle name="Normal 279 2 3 2" xfId="23554" xr:uid="{00000000-0005-0000-0000-0000025C0000}"/>
    <cellStyle name="Normal 279 2 3 2 2" xfId="23555" xr:uid="{00000000-0005-0000-0000-0000035C0000}"/>
    <cellStyle name="Normal 279 2 3 3" xfId="23556" xr:uid="{00000000-0005-0000-0000-0000045C0000}"/>
    <cellStyle name="Normal 279 2 4" xfId="23557" xr:uid="{00000000-0005-0000-0000-0000055C0000}"/>
    <cellStyle name="Normal 279 2 4 2" xfId="23558" xr:uid="{00000000-0005-0000-0000-0000065C0000}"/>
    <cellStyle name="Normal 279 2 4 2 2" xfId="23559" xr:uid="{00000000-0005-0000-0000-0000075C0000}"/>
    <cellStyle name="Normal 279 2 4 3" xfId="23560" xr:uid="{00000000-0005-0000-0000-0000085C0000}"/>
    <cellStyle name="Normal 279 2 5" xfId="23561" xr:uid="{00000000-0005-0000-0000-0000095C0000}"/>
    <cellStyle name="Normal 279 3" xfId="23562" xr:uid="{00000000-0005-0000-0000-00000A5C0000}"/>
    <cellStyle name="Normal 279 3 2" xfId="23563" xr:uid="{00000000-0005-0000-0000-00000B5C0000}"/>
    <cellStyle name="Normal 279 3 2 2" xfId="23564" xr:uid="{00000000-0005-0000-0000-00000C5C0000}"/>
    <cellStyle name="Normal 279 3 2 2 2" xfId="23565" xr:uid="{00000000-0005-0000-0000-00000D5C0000}"/>
    <cellStyle name="Normal 279 3 2 3" xfId="23566" xr:uid="{00000000-0005-0000-0000-00000E5C0000}"/>
    <cellStyle name="Normal 279 3 2 3 2" xfId="23567" xr:uid="{00000000-0005-0000-0000-00000F5C0000}"/>
    <cellStyle name="Normal 279 3 2 3 2 2" xfId="23568" xr:uid="{00000000-0005-0000-0000-0000105C0000}"/>
    <cellStyle name="Normal 279 3 2 3 3" xfId="23569" xr:uid="{00000000-0005-0000-0000-0000115C0000}"/>
    <cellStyle name="Normal 279 3 2 4" xfId="23570" xr:uid="{00000000-0005-0000-0000-0000125C0000}"/>
    <cellStyle name="Normal 279 3 3" xfId="23571" xr:uid="{00000000-0005-0000-0000-0000135C0000}"/>
    <cellStyle name="Normal 279 3 3 2" xfId="23572" xr:uid="{00000000-0005-0000-0000-0000145C0000}"/>
    <cellStyle name="Normal 279 3 3 2 2" xfId="23573" xr:uid="{00000000-0005-0000-0000-0000155C0000}"/>
    <cellStyle name="Normal 279 3 3 3" xfId="23574" xr:uid="{00000000-0005-0000-0000-0000165C0000}"/>
    <cellStyle name="Normal 279 3 4" xfId="23575" xr:uid="{00000000-0005-0000-0000-0000175C0000}"/>
    <cellStyle name="Normal 279 3 4 2" xfId="23576" xr:uid="{00000000-0005-0000-0000-0000185C0000}"/>
    <cellStyle name="Normal 279 3 4 2 2" xfId="23577" xr:uid="{00000000-0005-0000-0000-0000195C0000}"/>
    <cellStyle name="Normal 279 3 4 3" xfId="23578" xr:uid="{00000000-0005-0000-0000-00001A5C0000}"/>
    <cellStyle name="Normal 279 3 5" xfId="23579" xr:uid="{00000000-0005-0000-0000-00001B5C0000}"/>
    <cellStyle name="Normal 279 3 5 2" xfId="23580" xr:uid="{00000000-0005-0000-0000-00001C5C0000}"/>
    <cellStyle name="Normal 279 3 5 2 2" xfId="23581" xr:uid="{00000000-0005-0000-0000-00001D5C0000}"/>
    <cellStyle name="Normal 279 3 5 3" xfId="23582" xr:uid="{00000000-0005-0000-0000-00001E5C0000}"/>
    <cellStyle name="Normal 279 3 6" xfId="23583" xr:uid="{00000000-0005-0000-0000-00001F5C0000}"/>
    <cellStyle name="Normal 279 4" xfId="23584" xr:uid="{00000000-0005-0000-0000-0000205C0000}"/>
    <cellStyle name="Normal 279 4 2" xfId="23585" xr:uid="{00000000-0005-0000-0000-0000215C0000}"/>
    <cellStyle name="Normal 279 4 2 2" xfId="23586" xr:uid="{00000000-0005-0000-0000-0000225C0000}"/>
    <cellStyle name="Normal 279 4 3" xfId="23587" xr:uid="{00000000-0005-0000-0000-0000235C0000}"/>
    <cellStyle name="Normal 279 5" xfId="23588" xr:uid="{00000000-0005-0000-0000-0000245C0000}"/>
    <cellStyle name="Normal 279 5 2" xfId="23589" xr:uid="{00000000-0005-0000-0000-0000255C0000}"/>
    <cellStyle name="Normal 279 5 2 2" xfId="23590" xr:uid="{00000000-0005-0000-0000-0000265C0000}"/>
    <cellStyle name="Normal 279 5 3" xfId="23591" xr:uid="{00000000-0005-0000-0000-0000275C0000}"/>
    <cellStyle name="Normal 279 6" xfId="23592" xr:uid="{00000000-0005-0000-0000-0000285C0000}"/>
    <cellStyle name="Normal 279 6 2" xfId="23593" xr:uid="{00000000-0005-0000-0000-0000295C0000}"/>
    <cellStyle name="Normal 279 6 2 2" xfId="23594" xr:uid="{00000000-0005-0000-0000-00002A5C0000}"/>
    <cellStyle name="Normal 279 6 3" xfId="23595" xr:uid="{00000000-0005-0000-0000-00002B5C0000}"/>
    <cellStyle name="Normal 279 7" xfId="23596" xr:uid="{00000000-0005-0000-0000-00002C5C0000}"/>
    <cellStyle name="Normal 28" xfId="23597" xr:uid="{00000000-0005-0000-0000-00002D5C0000}"/>
    <cellStyle name="Normal 28 2" xfId="23598" xr:uid="{00000000-0005-0000-0000-00002E5C0000}"/>
    <cellStyle name="Normal 28 2 2" xfId="23599" xr:uid="{00000000-0005-0000-0000-00002F5C0000}"/>
    <cellStyle name="Normal 28 2 2 2" xfId="23600" xr:uid="{00000000-0005-0000-0000-0000305C0000}"/>
    <cellStyle name="Normal 28 2 2 2 2" xfId="23601" xr:uid="{00000000-0005-0000-0000-0000315C0000}"/>
    <cellStyle name="Normal 28 2 2 3" xfId="23602" xr:uid="{00000000-0005-0000-0000-0000325C0000}"/>
    <cellStyle name="Normal 28 2 2 3 2" xfId="23603" xr:uid="{00000000-0005-0000-0000-0000335C0000}"/>
    <cellStyle name="Normal 28 2 2 3 2 2" xfId="23604" xr:uid="{00000000-0005-0000-0000-0000345C0000}"/>
    <cellStyle name="Normal 28 2 2 3 3" xfId="23605" xr:uid="{00000000-0005-0000-0000-0000355C0000}"/>
    <cellStyle name="Normal 28 2 2 4" xfId="23606" xr:uid="{00000000-0005-0000-0000-0000365C0000}"/>
    <cellStyle name="Normal 28 2 2 4 2" xfId="23607" xr:uid="{00000000-0005-0000-0000-0000375C0000}"/>
    <cellStyle name="Normal 28 2 2 4 2 2" xfId="23608" xr:uid="{00000000-0005-0000-0000-0000385C0000}"/>
    <cellStyle name="Normal 28 2 2 4 3" xfId="23609" xr:uid="{00000000-0005-0000-0000-0000395C0000}"/>
    <cellStyle name="Normal 28 2 2 5" xfId="23610" xr:uid="{00000000-0005-0000-0000-00003A5C0000}"/>
    <cellStyle name="Normal 28 2 3" xfId="23611" xr:uid="{00000000-0005-0000-0000-00003B5C0000}"/>
    <cellStyle name="Normal 28 2 3 2" xfId="23612" xr:uid="{00000000-0005-0000-0000-00003C5C0000}"/>
    <cellStyle name="Normal 28 2 3 2 2" xfId="23613" xr:uid="{00000000-0005-0000-0000-00003D5C0000}"/>
    <cellStyle name="Normal 28 2 3 3" xfId="23614" xr:uid="{00000000-0005-0000-0000-00003E5C0000}"/>
    <cellStyle name="Normal 28 2 4" xfId="23615" xr:uid="{00000000-0005-0000-0000-00003F5C0000}"/>
    <cellStyle name="Normal 28 2 4 2" xfId="23616" xr:uid="{00000000-0005-0000-0000-0000405C0000}"/>
    <cellStyle name="Normal 28 2 4 2 2" xfId="23617" xr:uid="{00000000-0005-0000-0000-0000415C0000}"/>
    <cellStyle name="Normal 28 2 4 3" xfId="23618" xr:uid="{00000000-0005-0000-0000-0000425C0000}"/>
    <cellStyle name="Normal 28 2 5" xfId="23619" xr:uid="{00000000-0005-0000-0000-0000435C0000}"/>
    <cellStyle name="Normal 28 2 5 2" xfId="23620" xr:uid="{00000000-0005-0000-0000-0000445C0000}"/>
    <cellStyle name="Normal 28 2 5 2 2" xfId="23621" xr:uid="{00000000-0005-0000-0000-0000455C0000}"/>
    <cellStyle name="Normal 28 2 5 3" xfId="23622" xr:uid="{00000000-0005-0000-0000-0000465C0000}"/>
    <cellStyle name="Normal 28 2 6" xfId="23623" xr:uid="{00000000-0005-0000-0000-0000475C0000}"/>
    <cellStyle name="Normal 28 3" xfId="23624" xr:uid="{00000000-0005-0000-0000-0000485C0000}"/>
    <cellStyle name="Normal 28 3 2" xfId="23625" xr:uid="{00000000-0005-0000-0000-0000495C0000}"/>
    <cellStyle name="Normal 28 3 2 2" xfId="23626" xr:uid="{00000000-0005-0000-0000-00004A5C0000}"/>
    <cellStyle name="Normal 28 3 3" xfId="23627" xr:uid="{00000000-0005-0000-0000-00004B5C0000}"/>
    <cellStyle name="Normal 28 3 3 2" xfId="23628" xr:uid="{00000000-0005-0000-0000-00004C5C0000}"/>
    <cellStyle name="Normal 28 3 3 2 2" xfId="23629" xr:uid="{00000000-0005-0000-0000-00004D5C0000}"/>
    <cellStyle name="Normal 28 3 3 3" xfId="23630" xr:uid="{00000000-0005-0000-0000-00004E5C0000}"/>
    <cellStyle name="Normal 28 3 4" xfId="23631" xr:uid="{00000000-0005-0000-0000-00004F5C0000}"/>
    <cellStyle name="Normal 28 3 4 2" xfId="23632" xr:uid="{00000000-0005-0000-0000-0000505C0000}"/>
    <cellStyle name="Normal 28 3 4 2 2" xfId="23633" xr:uid="{00000000-0005-0000-0000-0000515C0000}"/>
    <cellStyle name="Normal 28 3 4 3" xfId="23634" xr:uid="{00000000-0005-0000-0000-0000525C0000}"/>
    <cellStyle name="Normal 28 3 5" xfId="23635" xr:uid="{00000000-0005-0000-0000-0000535C0000}"/>
    <cellStyle name="Normal 28 4" xfId="23636" xr:uid="{00000000-0005-0000-0000-0000545C0000}"/>
    <cellStyle name="Normal 28 4 2" xfId="23637" xr:uid="{00000000-0005-0000-0000-0000555C0000}"/>
    <cellStyle name="Normal 28 4 2 2" xfId="23638" xr:uid="{00000000-0005-0000-0000-0000565C0000}"/>
    <cellStyle name="Normal 28 4 3" xfId="23639" xr:uid="{00000000-0005-0000-0000-0000575C0000}"/>
    <cellStyle name="Normal 28 4 3 2" xfId="23640" xr:uid="{00000000-0005-0000-0000-0000585C0000}"/>
    <cellStyle name="Normal 28 4 3 2 2" xfId="23641" xr:uid="{00000000-0005-0000-0000-0000595C0000}"/>
    <cellStyle name="Normal 28 4 3 3" xfId="23642" xr:uid="{00000000-0005-0000-0000-00005A5C0000}"/>
    <cellStyle name="Normal 28 4 4" xfId="23643" xr:uid="{00000000-0005-0000-0000-00005B5C0000}"/>
    <cellStyle name="Normal 28 4 4 2" xfId="23644" xr:uid="{00000000-0005-0000-0000-00005C5C0000}"/>
    <cellStyle name="Normal 28 4 4 2 2" xfId="23645" xr:uid="{00000000-0005-0000-0000-00005D5C0000}"/>
    <cellStyle name="Normal 28 4 4 3" xfId="23646" xr:uid="{00000000-0005-0000-0000-00005E5C0000}"/>
    <cellStyle name="Normal 28 4 5" xfId="23647" xr:uid="{00000000-0005-0000-0000-00005F5C0000}"/>
    <cellStyle name="Normal 28 5" xfId="23648" xr:uid="{00000000-0005-0000-0000-0000605C0000}"/>
    <cellStyle name="Normal 28 5 2" xfId="23649" xr:uid="{00000000-0005-0000-0000-0000615C0000}"/>
    <cellStyle name="Normal 28 5 2 2" xfId="23650" xr:uid="{00000000-0005-0000-0000-0000625C0000}"/>
    <cellStyle name="Normal 28 5 3" xfId="23651" xr:uid="{00000000-0005-0000-0000-0000635C0000}"/>
    <cellStyle name="Normal 28 6" xfId="23652" xr:uid="{00000000-0005-0000-0000-0000645C0000}"/>
    <cellStyle name="Normal 28 6 2" xfId="23653" xr:uid="{00000000-0005-0000-0000-0000655C0000}"/>
    <cellStyle name="Normal 28 6 2 2" xfId="23654" xr:uid="{00000000-0005-0000-0000-0000665C0000}"/>
    <cellStyle name="Normal 28 6 3" xfId="23655" xr:uid="{00000000-0005-0000-0000-0000675C0000}"/>
    <cellStyle name="Normal 28 7" xfId="23656" xr:uid="{00000000-0005-0000-0000-0000685C0000}"/>
    <cellStyle name="Normal 28 7 2" xfId="23657" xr:uid="{00000000-0005-0000-0000-0000695C0000}"/>
    <cellStyle name="Normal 28 7 2 2" xfId="23658" xr:uid="{00000000-0005-0000-0000-00006A5C0000}"/>
    <cellStyle name="Normal 28 7 3" xfId="23659" xr:uid="{00000000-0005-0000-0000-00006B5C0000}"/>
    <cellStyle name="Normal 28 8" xfId="23660" xr:uid="{00000000-0005-0000-0000-00006C5C0000}"/>
    <cellStyle name="Normal 280" xfId="23661" xr:uid="{00000000-0005-0000-0000-00006D5C0000}"/>
    <cellStyle name="Normal 280 2" xfId="23662" xr:uid="{00000000-0005-0000-0000-00006E5C0000}"/>
    <cellStyle name="Normal 280 2 2" xfId="23663" xr:uid="{00000000-0005-0000-0000-00006F5C0000}"/>
    <cellStyle name="Normal 280 2 2 2" xfId="23664" xr:uid="{00000000-0005-0000-0000-0000705C0000}"/>
    <cellStyle name="Normal 280 2 3" xfId="23665" xr:uid="{00000000-0005-0000-0000-0000715C0000}"/>
    <cellStyle name="Normal 280 2 3 2" xfId="23666" xr:uid="{00000000-0005-0000-0000-0000725C0000}"/>
    <cellStyle name="Normal 280 2 3 2 2" xfId="23667" xr:uid="{00000000-0005-0000-0000-0000735C0000}"/>
    <cellStyle name="Normal 280 2 3 3" xfId="23668" xr:uid="{00000000-0005-0000-0000-0000745C0000}"/>
    <cellStyle name="Normal 280 2 4" xfId="23669" xr:uid="{00000000-0005-0000-0000-0000755C0000}"/>
    <cellStyle name="Normal 280 2 4 2" xfId="23670" xr:uid="{00000000-0005-0000-0000-0000765C0000}"/>
    <cellStyle name="Normal 280 2 4 2 2" xfId="23671" xr:uid="{00000000-0005-0000-0000-0000775C0000}"/>
    <cellStyle name="Normal 280 2 4 3" xfId="23672" xr:uid="{00000000-0005-0000-0000-0000785C0000}"/>
    <cellStyle name="Normal 280 2 5" xfId="23673" xr:uid="{00000000-0005-0000-0000-0000795C0000}"/>
    <cellStyle name="Normal 280 3" xfId="23674" xr:uid="{00000000-0005-0000-0000-00007A5C0000}"/>
    <cellStyle name="Normal 280 3 2" xfId="23675" xr:uid="{00000000-0005-0000-0000-00007B5C0000}"/>
    <cellStyle name="Normal 280 3 2 2" xfId="23676" xr:uid="{00000000-0005-0000-0000-00007C5C0000}"/>
    <cellStyle name="Normal 280 3 2 2 2" xfId="23677" xr:uid="{00000000-0005-0000-0000-00007D5C0000}"/>
    <cellStyle name="Normal 280 3 2 3" xfId="23678" xr:uid="{00000000-0005-0000-0000-00007E5C0000}"/>
    <cellStyle name="Normal 280 3 2 3 2" xfId="23679" xr:uid="{00000000-0005-0000-0000-00007F5C0000}"/>
    <cellStyle name="Normal 280 3 2 3 2 2" xfId="23680" xr:uid="{00000000-0005-0000-0000-0000805C0000}"/>
    <cellStyle name="Normal 280 3 2 3 3" xfId="23681" xr:uid="{00000000-0005-0000-0000-0000815C0000}"/>
    <cellStyle name="Normal 280 3 2 4" xfId="23682" xr:uid="{00000000-0005-0000-0000-0000825C0000}"/>
    <cellStyle name="Normal 280 3 3" xfId="23683" xr:uid="{00000000-0005-0000-0000-0000835C0000}"/>
    <cellStyle name="Normal 280 3 3 2" xfId="23684" xr:uid="{00000000-0005-0000-0000-0000845C0000}"/>
    <cellStyle name="Normal 280 3 3 2 2" xfId="23685" xr:uid="{00000000-0005-0000-0000-0000855C0000}"/>
    <cellStyle name="Normal 280 3 3 3" xfId="23686" xr:uid="{00000000-0005-0000-0000-0000865C0000}"/>
    <cellStyle name="Normal 280 3 4" xfId="23687" xr:uid="{00000000-0005-0000-0000-0000875C0000}"/>
    <cellStyle name="Normal 280 3 4 2" xfId="23688" xr:uid="{00000000-0005-0000-0000-0000885C0000}"/>
    <cellStyle name="Normal 280 3 4 2 2" xfId="23689" xr:uid="{00000000-0005-0000-0000-0000895C0000}"/>
    <cellStyle name="Normal 280 3 4 3" xfId="23690" xr:uid="{00000000-0005-0000-0000-00008A5C0000}"/>
    <cellStyle name="Normal 280 3 5" xfId="23691" xr:uid="{00000000-0005-0000-0000-00008B5C0000}"/>
    <cellStyle name="Normal 280 3 5 2" xfId="23692" xr:uid="{00000000-0005-0000-0000-00008C5C0000}"/>
    <cellStyle name="Normal 280 3 5 2 2" xfId="23693" xr:uid="{00000000-0005-0000-0000-00008D5C0000}"/>
    <cellStyle name="Normal 280 3 5 3" xfId="23694" xr:uid="{00000000-0005-0000-0000-00008E5C0000}"/>
    <cellStyle name="Normal 280 3 6" xfId="23695" xr:uid="{00000000-0005-0000-0000-00008F5C0000}"/>
    <cellStyle name="Normal 280 4" xfId="23696" xr:uid="{00000000-0005-0000-0000-0000905C0000}"/>
    <cellStyle name="Normal 280 4 2" xfId="23697" xr:uid="{00000000-0005-0000-0000-0000915C0000}"/>
    <cellStyle name="Normal 280 4 2 2" xfId="23698" xr:uid="{00000000-0005-0000-0000-0000925C0000}"/>
    <cellStyle name="Normal 280 4 3" xfId="23699" xr:uid="{00000000-0005-0000-0000-0000935C0000}"/>
    <cellStyle name="Normal 280 5" xfId="23700" xr:uid="{00000000-0005-0000-0000-0000945C0000}"/>
    <cellStyle name="Normal 280 5 2" xfId="23701" xr:uid="{00000000-0005-0000-0000-0000955C0000}"/>
    <cellStyle name="Normal 280 5 2 2" xfId="23702" xr:uid="{00000000-0005-0000-0000-0000965C0000}"/>
    <cellStyle name="Normal 280 5 3" xfId="23703" xr:uid="{00000000-0005-0000-0000-0000975C0000}"/>
    <cellStyle name="Normal 280 6" xfId="23704" xr:uid="{00000000-0005-0000-0000-0000985C0000}"/>
    <cellStyle name="Normal 280 6 2" xfId="23705" xr:uid="{00000000-0005-0000-0000-0000995C0000}"/>
    <cellStyle name="Normal 280 6 2 2" xfId="23706" xr:uid="{00000000-0005-0000-0000-00009A5C0000}"/>
    <cellStyle name="Normal 280 6 3" xfId="23707" xr:uid="{00000000-0005-0000-0000-00009B5C0000}"/>
    <cellStyle name="Normal 280 7" xfId="23708" xr:uid="{00000000-0005-0000-0000-00009C5C0000}"/>
    <cellStyle name="Normal 281" xfId="23709" xr:uid="{00000000-0005-0000-0000-00009D5C0000}"/>
    <cellStyle name="Normal 281 2" xfId="23710" xr:uid="{00000000-0005-0000-0000-00009E5C0000}"/>
    <cellStyle name="Normal 281 2 2" xfId="23711" xr:uid="{00000000-0005-0000-0000-00009F5C0000}"/>
    <cellStyle name="Normal 281 2 2 2" xfId="23712" xr:uid="{00000000-0005-0000-0000-0000A05C0000}"/>
    <cellStyle name="Normal 281 2 3" xfId="23713" xr:uid="{00000000-0005-0000-0000-0000A15C0000}"/>
    <cellStyle name="Normal 281 2 3 2" xfId="23714" xr:uid="{00000000-0005-0000-0000-0000A25C0000}"/>
    <cellStyle name="Normal 281 2 3 2 2" xfId="23715" xr:uid="{00000000-0005-0000-0000-0000A35C0000}"/>
    <cellStyle name="Normal 281 2 3 3" xfId="23716" xr:uid="{00000000-0005-0000-0000-0000A45C0000}"/>
    <cellStyle name="Normal 281 2 4" xfId="23717" xr:uid="{00000000-0005-0000-0000-0000A55C0000}"/>
    <cellStyle name="Normal 281 2 4 2" xfId="23718" xr:uid="{00000000-0005-0000-0000-0000A65C0000}"/>
    <cellStyle name="Normal 281 2 4 2 2" xfId="23719" xr:uid="{00000000-0005-0000-0000-0000A75C0000}"/>
    <cellStyle name="Normal 281 2 4 3" xfId="23720" xr:uid="{00000000-0005-0000-0000-0000A85C0000}"/>
    <cellStyle name="Normal 281 2 5" xfId="23721" xr:uid="{00000000-0005-0000-0000-0000A95C0000}"/>
    <cellStyle name="Normal 281 3" xfId="23722" xr:uid="{00000000-0005-0000-0000-0000AA5C0000}"/>
    <cellStyle name="Normal 281 3 2" xfId="23723" xr:uid="{00000000-0005-0000-0000-0000AB5C0000}"/>
    <cellStyle name="Normal 281 3 2 2" xfId="23724" xr:uid="{00000000-0005-0000-0000-0000AC5C0000}"/>
    <cellStyle name="Normal 281 3 2 2 2" xfId="23725" xr:uid="{00000000-0005-0000-0000-0000AD5C0000}"/>
    <cellStyle name="Normal 281 3 2 3" xfId="23726" xr:uid="{00000000-0005-0000-0000-0000AE5C0000}"/>
    <cellStyle name="Normal 281 3 2 3 2" xfId="23727" xr:uid="{00000000-0005-0000-0000-0000AF5C0000}"/>
    <cellStyle name="Normal 281 3 2 3 2 2" xfId="23728" xr:uid="{00000000-0005-0000-0000-0000B05C0000}"/>
    <cellStyle name="Normal 281 3 2 3 3" xfId="23729" xr:uid="{00000000-0005-0000-0000-0000B15C0000}"/>
    <cellStyle name="Normal 281 3 2 4" xfId="23730" xr:uid="{00000000-0005-0000-0000-0000B25C0000}"/>
    <cellStyle name="Normal 281 3 3" xfId="23731" xr:uid="{00000000-0005-0000-0000-0000B35C0000}"/>
    <cellStyle name="Normal 281 3 3 2" xfId="23732" xr:uid="{00000000-0005-0000-0000-0000B45C0000}"/>
    <cellStyle name="Normal 281 3 3 2 2" xfId="23733" xr:uid="{00000000-0005-0000-0000-0000B55C0000}"/>
    <cellStyle name="Normal 281 3 3 3" xfId="23734" xr:uid="{00000000-0005-0000-0000-0000B65C0000}"/>
    <cellStyle name="Normal 281 3 4" xfId="23735" xr:uid="{00000000-0005-0000-0000-0000B75C0000}"/>
    <cellStyle name="Normal 281 3 4 2" xfId="23736" xr:uid="{00000000-0005-0000-0000-0000B85C0000}"/>
    <cellStyle name="Normal 281 3 4 2 2" xfId="23737" xr:uid="{00000000-0005-0000-0000-0000B95C0000}"/>
    <cellStyle name="Normal 281 3 4 3" xfId="23738" xr:uid="{00000000-0005-0000-0000-0000BA5C0000}"/>
    <cellStyle name="Normal 281 3 5" xfId="23739" xr:uid="{00000000-0005-0000-0000-0000BB5C0000}"/>
    <cellStyle name="Normal 281 3 5 2" xfId="23740" xr:uid="{00000000-0005-0000-0000-0000BC5C0000}"/>
    <cellStyle name="Normal 281 3 5 2 2" xfId="23741" xr:uid="{00000000-0005-0000-0000-0000BD5C0000}"/>
    <cellStyle name="Normal 281 3 5 3" xfId="23742" xr:uid="{00000000-0005-0000-0000-0000BE5C0000}"/>
    <cellStyle name="Normal 281 3 6" xfId="23743" xr:uid="{00000000-0005-0000-0000-0000BF5C0000}"/>
    <cellStyle name="Normal 281 4" xfId="23744" xr:uid="{00000000-0005-0000-0000-0000C05C0000}"/>
    <cellStyle name="Normal 281 4 2" xfId="23745" xr:uid="{00000000-0005-0000-0000-0000C15C0000}"/>
    <cellStyle name="Normal 281 4 2 2" xfId="23746" xr:uid="{00000000-0005-0000-0000-0000C25C0000}"/>
    <cellStyle name="Normal 281 4 3" xfId="23747" xr:uid="{00000000-0005-0000-0000-0000C35C0000}"/>
    <cellStyle name="Normal 281 5" xfId="23748" xr:uid="{00000000-0005-0000-0000-0000C45C0000}"/>
    <cellStyle name="Normal 281 5 2" xfId="23749" xr:uid="{00000000-0005-0000-0000-0000C55C0000}"/>
    <cellStyle name="Normal 281 5 2 2" xfId="23750" xr:uid="{00000000-0005-0000-0000-0000C65C0000}"/>
    <cellStyle name="Normal 281 5 3" xfId="23751" xr:uid="{00000000-0005-0000-0000-0000C75C0000}"/>
    <cellStyle name="Normal 281 6" xfId="23752" xr:uid="{00000000-0005-0000-0000-0000C85C0000}"/>
    <cellStyle name="Normal 281 6 2" xfId="23753" xr:uid="{00000000-0005-0000-0000-0000C95C0000}"/>
    <cellStyle name="Normal 281 6 2 2" xfId="23754" xr:uid="{00000000-0005-0000-0000-0000CA5C0000}"/>
    <cellStyle name="Normal 281 6 3" xfId="23755" xr:uid="{00000000-0005-0000-0000-0000CB5C0000}"/>
    <cellStyle name="Normal 281 7" xfId="23756" xr:uid="{00000000-0005-0000-0000-0000CC5C0000}"/>
    <cellStyle name="Normal 282" xfId="23757" xr:uid="{00000000-0005-0000-0000-0000CD5C0000}"/>
    <cellStyle name="Normal 282 2" xfId="23758" xr:uid="{00000000-0005-0000-0000-0000CE5C0000}"/>
    <cellStyle name="Normal 282 2 2" xfId="23759" xr:uid="{00000000-0005-0000-0000-0000CF5C0000}"/>
    <cellStyle name="Normal 282 2 2 2" xfId="23760" xr:uid="{00000000-0005-0000-0000-0000D05C0000}"/>
    <cellStyle name="Normal 282 2 3" xfId="23761" xr:uid="{00000000-0005-0000-0000-0000D15C0000}"/>
    <cellStyle name="Normal 282 2 3 2" xfId="23762" xr:uid="{00000000-0005-0000-0000-0000D25C0000}"/>
    <cellStyle name="Normal 282 2 3 2 2" xfId="23763" xr:uid="{00000000-0005-0000-0000-0000D35C0000}"/>
    <cellStyle name="Normal 282 2 3 3" xfId="23764" xr:uid="{00000000-0005-0000-0000-0000D45C0000}"/>
    <cellStyle name="Normal 282 2 4" xfId="23765" xr:uid="{00000000-0005-0000-0000-0000D55C0000}"/>
    <cellStyle name="Normal 282 2 4 2" xfId="23766" xr:uid="{00000000-0005-0000-0000-0000D65C0000}"/>
    <cellStyle name="Normal 282 2 4 2 2" xfId="23767" xr:uid="{00000000-0005-0000-0000-0000D75C0000}"/>
    <cellStyle name="Normal 282 2 4 3" xfId="23768" xr:uid="{00000000-0005-0000-0000-0000D85C0000}"/>
    <cellStyle name="Normal 282 2 5" xfId="23769" xr:uid="{00000000-0005-0000-0000-0000D95C0000}"/>
    <cellStyle name="Normal 282 3" xfId="23770" xr:uid="{00000000-0005-0000-0000-0000DA5C0000}"/>
    <cellStyle name="Normal 282 3 2" xfId="23771" xr:uid="{00000000-0005-0000-0000-0000DB5C0000}"/>
    <cellStyle name="Normal 282 3 2 2" xfId="23772" xr:uid="{00000000-0005-0000-0000-0000DC5C0000}"/>
    <cellStyle name="Normal 282 3 2 2 2" xfId="23773" xr:uid="{00000000-0005-0000-0000-0000DD5C0000}"/>
    <cellStyle name="Normal 282 3 2 3" xfId="23774" xr:uid="{00000000-0005-0000-0000-0000DE5C0000}"/>
    <cellStyle name="Normal 282 3 2 3 2" xfId="23775" xr:uid="{00000000-0005-0000-0000-0000DF5C0000}"/>
    <cellStyle name="Normal 282 3 2 3 2 2" xfId="23776" xr:uid="{00000000-0005-0000-0000-0000E05C0000}"/>
    <cellStyle name="Normal 282 3 2 3 3" xfId="23777" xr:uid="{00000000-0005-0000-0000-0000E15C0000}"/>
    <cellStyle name="Normal 282 3 2 4" xfId="23778" xr:uid="{00000000-0005-0000-0000-0000E25C0000}"/>
    <cellStyle name="Normal 282 3 3" xfId="23779" xr:uid="{00000000-0005-0000-0000-0000E35C0000}"/>
    <cellStyle name="Normal 282 3 3 2" xfId="23780" xr:uid="{00000000-0005-0000-0000-0000E45C0000}"/>
    <cellStyle name="Normal 282 3 3 2 2" xfId="23781" xr:uid="{00000000-0005-0000-0000-0000E55C0000}"/>
    <cellStyle name="Normal 282 3 3 3" xfId="23782" xr:uid="{00000000-0005-0000-0000-0000E65C0000}"/>
    <cellStyle name="Normal 282 3 4" xfId="23783" xr:uid="{00000000-0005-0000-0000-0000E75C0000}"/>
    <cellStyle name="Normal 282 3 4 2" xfId="23784" xr:uid="{00000000-0005-0000-0000-0000E85C0000}"/>
    <cellStyle name="Normal 282 3 4 2 2" xfId="23785" xr:uid="{00000000-0005-0000-0000-0000E95C0000}"/>
    <cellStyle name="Normal 282 3 4 3" xfId="23786" xr:uid="{00000000-0005-0000-0000-0000EA5C0000}"/>
    <cellStyle name="Normal 282 3 5" xfId="23787" xr:uid="{00000000-0005-0000-0000-0000EB5C0000}"/>
    <cellStyle name="Normal 282 3 5 2" xfId="23788" xr:uid="{00000000-0005-0000-0000-0000EC5C0000}"/>
    <cellStyle name="Normal 282 3 5 2 2" xfId="23789" xr:uid="{00000000-0005-0000-0000-0000ED5C0000}"/>
    <cellStyle name="Normal 282 3 5 3" xfId="23790" xr:uid="{00000000-0005-0000-0000-0000EE5C0000}"/>
    <cellStyle name="Normal 282 3 6" xfId="23791" xr:uid="{00000000-0005-0000-0000-0000EF5C0000}"/>
    <cellStyle name="Normal 282 4" xfId="23792" xr:uid="{00000000-0005-0000-0000-0000F05C0000}"/>
    <cellStyle name="Normal 282 4 2" xfId="23793" xr:uid="{00000000-0005-0000-0000-0000F15C0000}"/>
    <cellStyle name="Normal 282 4 2 2" xfId="23794" xr:uid="{00000000-0005-0000-0000-0000F25C0000}"/>
    <cellStyle name="Normal 282 4 3" xfId="23795" xr:uid="{00000000-0005-0000-0000-0000F35C0000}"/>
    <cellStyle name="Normal 282 5" xfId="23796" xr:uid="{00000000-0005-0000-0000-0000F45C0000}"/>
    <cellStyle name="Normal 282 5 2" xfId="23797" xr:uid="{00000000-0005-0000-0000-0000F55C0000}"/>
    <cellStyle name="Normal 282 5 2 2" xfId="23798" xr:uid="{00000000-0005-0000-0000-0000F65C0000}"/>
    <cellStyle name="Normal 282 5 3" xfId="23799" xr:uid="{00000000-0005-0000-0000-0000F75C0000}"/>
    <cellStyle name="Normal 282 6" xfId="23800" xr:uid="{00000000-0005-0000-0000-0000F85C0000}"/>
    <cellStyle name="Normal 282 6 2" xfId="23801" xr:uid="{00000000-0005-0000-0000-0000F95C0000}"/>
    <cellStyle name="Normal 282 6 2 2" xfId="23802" xr:uid="{00000000-0005-0000-0000-0000FA5C0000}"/>
    <cellStyle name="Normal 282 6 3" xfId="23803" xr:uid="{00000000-0005-0000-0000-0000FB5C0000}"/>
    <cellStyle name="Normal 282 7" xfId="23804" xr:uid="{00000000-0005-0000-0000-0000FC5C0000}"/>
    <cellStyle name="Normal 283" xfId="23805" xr:uid="{00000000-0005-0000-0000-0000FD5C0000}"/>
    <cellStyle name="Normal 283 2" xfId="23806" xr:uid="{00000000-0005-0000-0000-0000FE5C0000}"/>
    <cellStyle name="Normal 283 2 2" xfId="23807" xr:uid="{00000000-0005-0000-0000-0000FF5C0000}"/>
    <cellStyle name="Normal 283 2 2 2" xfId="23808" xr:uid="{00000000-0005-0000-0000-0000005D0000}"/>
    <cellStyle name="Normal 283 2 3" xfId="23809" xr:uid="{00000000-0005-0000-0000-0000015D0000}"/>
    <cellStyle name="Normal 283 2 3 2" xfId="23810" xr:uid="{00000000-0005-0000-0000-0000025D0000}"/>
    <cellStyle name="Normal 283 2 3 2 2" xfId="23811" xr:uid="{00000000-0005-0000-0000-0000035D0000}"/>
    <cellStyle name="Normal 283 2 3 3" xfId="23812" xr:uid="{00000000-0005-0000-0000-0000045D0000}"/>
    <cellStyle name="Normal 283 2 4" xfId="23813" xr:uid="{00000000-0005-0000-0000-0000055D0000}"/>
    <cellStyle name="Normal 283 2 4 2" xfId="23814" xr:uid="{00000000-0005-0000-0000-0000065D0000}"/>
    <cellStyle name="Normal 283 2 4 2 2" xfId="23815" xr:uid="{00000000-0005-0000-0000-0000075D0000}"/>
    <cellStyle name="Normal 283 2 4 3" xfId="23816" xr:uid="{00000000-0005-0000-0000-0000085D0000}"/>
    <cellStyle name="Normal 283 2 5" xfId="23817" xr:uid="{00000000-0005-0000-0000-0000095D0000}"/>
    <cellStyle name="Normal 283 3" xfId="23818" xr:uid="{00000000-0005-0000-0000-00000A5D0000}"/>
    <cellStyle name="Normal 283 3 2" xfId="23819" xr:uid="{00000000-0005-0000-0000-00000B5D0000}"/>
    <cellStyle name="Normal 283 3 2 2" xfId="23820" xr:uid="{00000000-0005-0000-0000-00000C5D0000}"/>
    <cellStyle name="Normal 283 3 2 2 2" xfId="23821" xr:uid="{00000000-0005-0000-0000-00000D5D0000}"/>
    <cellStyle name="Normal 283 3 2 3" xfId="23822" xr:uid="{00000000-0005-0000-0000-00000E5D0000}"/>
    <cellStyle name="Normal 283 3 2 3 2" xfId="23823" xr:uid="{00000000-0005-0000-0000-00000F5D0000}"/>
    <cellStyle name="Normal 283 3 2 3 2 2" xfId="23824" xr:uid="{00000000-0005-0000-0000-0000105D0000}"/>
    <cellStyle name="Normal 283 3 2 3 3" xfId="23825" xr:uid="{00000000-0005-0000-0000-0000115D0000}"/>
    <cellStyle name="Normal 283 3 2 4" xfId="23826" xr:uid="{00000000-0005-0000-0000-0000125D0000}"/>
    <cellStyle name="Normal 283 3 3" xfId="23827" xr:uid="{00000000-0005-0000-0000-0000135D0000}"/>
    <cellStyle name="Normal 283 3 3 2" xfId="23828" xr:uid="{00000000-0005-0000-0000-0000145D0000}"/>
    <cellStyle name="Normal 283 3 3 2 2" xfId="23829" xr:uid="{00000000-0005-0000-0000-0000155D0000}"/>
    <cellStyle name="Normal 283 3 3 3" xfId="23830" xr:uid="{00000000-0005-0000-0000-0000165D0000}"/>
    <cellStyle name="Normal 283 3 4" xfId="23831" xr:uid="{00000000-0005-0000-0000-0000175D0000}"/>
    <cellStyle name="Normal 283 3 4 2" xfId="23832" xr:uid="{00000000-0005-0000-0000-0000185D0000}"/>
    <cellStyle name="Normal 283 3 4 2 2" xfId="23833" xr:uid="{00000000-0005-0000-0000-0000195D0000}"/>
    <cellStyle name="Normal 283 3 4 3" xfId="23834" xr:uid="{00000000-0005-0000-0000-00001A5D0000}"/>
    <cellStyle name="Normal 283 3 5" xfId="23835" xr:uid="{00000000-0005-0000-0000-00001B5D0000}"/>
    <cellStyle name="Normal 283 3 5 2" xfId="23836" xr:uid="{00000000-0005-0000-0000-00001C5D0000}"/>
    <cellStyle name="Normal 283 3 5 2 2" xfId="23837" xr:uid="{00000000-0005-0000-0000-00001D5D0000}"/>
    <cellStyle name="Normal 283 3 5 3" xfId="23838" xr:uid="{00000000-0005-0000-0000-00001E5D0000}"/>
    <cellStyle name="Normal 283 3 6" xfId="23839" xr:uid="{00000000-0005-0000-0000-00001F5D0000}"/>
    <cellStyle name="Normal 283 4" xfId="23840" xr:uid="{00000000-0005-0000-0000-0000205D0000}"/>
    <cellStyle name="Normal 283 4 2" xfId="23841" xr:uid="{00000000-0005-0000-0000-0000215D0000}"/>
    <cellStyle name="Normal 283 4 2 2" xfId="23842" xr:uid="{00000000-0005-0000-0000-0000225D0000}"/>
    <cellStyle name="Normal 283 4 3" xfId="23843" xr:uid="{00000000-0005-0000-0000-0000235D0000}"/>
    <cellStyle name="Normal 283 5" xfId="23844" xr:uid="{00000000-0005-0000-0000-0000245D0000}"/>
    <cellStyle name="Normal 283 5 2" xfId="23845" xr:uid="{00000000-0005-0000-0000-0000255D0000}"/>
    <cellStyle name="Normal 283 5 2 2" xfId="23846" xr:uid="{00000000-0005-0000-0000-0000265D0000}"/>
    <cellStyle name="Normal 283 5 3" xfId="23847" xr:uid="{00000000-0005-0000-0000-0000275D0000}"/>
    <cellStyle name="Normal 283 6" xfId="23848" xr:uid="{00000000-0005-0000-0000-0000285D0000}"/>
    <cellStyle name="Normal 283 6 2" xfId="23849" xr:uid="{00000000-0005-0000-0000-0000295D0000}"/>
    <cellStyle name="Normal 283 6 2 2" xfId="23850" xr:uid="{00000000-0005-0000-0000-00002A5D0000}"/>
    <cellStyle name="Normal 283 6 3" xfId="23851" xr:uid="{00000000-0005-0000-0000-00002B5D0000}"/>
    <cellStyle name="Normal 283 7" xfId="23852" xr:uid="{00000000-0005-0000-0000-00002C5D0000}"/>
    <cellStyle name="Normal 284" xfId="23853" xr:uid="{00000000-0005-0000-0000-00002D5D0000}"/>
    <cellStyle name="Normal 284 2" xfId="23854" xr:uid="{00000000-0005-0000-0000-00002E5D0000}"/>
    <cellStyle name="Normal 284 2 2" xfId="23855" xr:uid="{00000000-0005-0000-0000-00002F5D0000}"/>
    <cellStyle name="Normal 284 2 2 2" xfId="23856" xr:uid="{00000000-0005-0000-0000-0000305D0000}"/>
    <cellStyle name="Normal 284 2 3" xfId="23857" xr:uid="{00000000-0005-0000-0000-0000315D0000}"/>
    <cellStyle name="Normal 284 2 3 2" xfId="23858" xr:uid="{00000000-0005-0000-0000-0000325D0000}"/>
    <cellStyle name="Normal 284 2 3 2 2" xfId="23859" xr:uid="{00000000-0005-0000-0000-0000335D0000}"/>
    <cellStyle name="Normal 284 2 3 3" xfId="23860" xr:uid="{00000000-0005-0000-0000-0000345D0000}"/>
    <cellStyle name="Normal 284 2 4" xfId="23861" xr:uid="{00000000-0005-0000-0000-0000355D0000}"/>
    <cellStyle name="Normal 284 2 4 2" xfId="23862" xr:uid="{00000000-0005-0000-0000-0000365D0000}"/>
    <cellStyle name="Normal 284 2 4 2 2" xfId="23863" xr:uid="{00000000-0005-0000-0000-0000375D0000}"/>
    <cellStyle name="Normal 284 2 4 3" xfId="23864" xr:uid="{00000000-0005-0000-0000-0000385D0000}"/>
    <cellStyle name="Normal 284 2 5" xfId="23865" xr:uid="{00000000-0005-0000-0000-0000395D0000}"/>
    <cellStyle name="Normal 284 3" xfId="23866" xr:uid="{00000000-0005-0000-0000-00003A5D0000}"/>
    <cellStyle name="Normal 284 3 2" xfId="23867" xr:uid="{00000000-0005-0000-0000-00003B5D0000}"/>
    <cellStyle name="Normal 284 3 2 2" xfId="23868" xr:uid="{00000000-0005-0000-0000-00003C5D0000}"/>
    <cellStyle name="Normal 284 3 2 2 2" xfId="23869" xr:uid="{00000000-0005-0000-0000-00003D5D0000}"/>
    <cellStyle name="Normal 284 3 2 3" xfId="23870" xr:uid="{00000000-0005-0000-0000-00003E5D0000}"/>
    <cellStyle name="Normal 284 3 2 3 2" xfId="23871" xr:uid="{00000000-0005-0000-0000-00003F5D0000}"/>
    <cellStyle name="Normal 284 3 2 3 2 2" xfId="23872" xr:uid="{00000000-0005-0000-0000-0000405D0000}"/>
    <cellStyle name="Normal 284 3 2 3 3" xfId="23873" xr:uid="{00000000-0005-0000-0000-0000415D0000}"/>
    <cellStyle name="Normal 284 3 2 4" xfId="23874" xr:uid="{00000000-0005-0000-0000-0000425D0000}"/>
    <cellStyle name="Normal 284 3 3" xfId="23875" xr:uid="{00000000-0005-0000-0000-0000435D0000}"/>
    <cellStyle name="Normal 284 3 3 2" xfId="23876" xr:uid="{00000000-0005-0000-0000-0000445D0000}"/>
    <cellStyle name="Normal 284 3 3 2 2" xfId="23877" xr:uid="{00000000-0005-0000-0000-0000455D0000}"/>
    <cellStyle name="Normal 284 3 3 3" xfId="23878" xr:uid="{00000000-0005-0000-0000-0000465D0000}"/>
    <cellStyle name="Normal 284 3 4" xfId="23879" xr:uid="{00000000-0005-0000-0000-0000475D0000}"/>
    <cellStyle name="Normal 284 3 4 2" xfId="23880" xr:uid="{00000000-0005-0000-0000-0000485D0000}"/>
    <cellStyle name="Normal 284 3 4 2 2" xfId="23881" xr:uid="{00000000-0005-0000-0000-0000495D0000}"/>
    <cellStyle name="Normal 284 3 4 3" xfId="23882" xr:uid="{00000000-0005-0000-0000-00004A5D0000}"/>
    <cellStyle name="Normal 284 3 5" xfId="23883" xr:uid="{00000000-0005-0000-0000-00004B5D0000}"/>
    <cellStyle name="Normal 284 3 5 2" xfId="23884" xr:uid="{00000000-0005-0000-0000-00004C5D0000}"/>
    <cellStyle name="Normal 284 3 5 2 2" xfId="23885" xr:uid="{00000000-0005-0000-0000-00004D5D0000}"/>
    <cellStyle name="Normal 284 3 5 3" xfId="23886" xr:uid="{00000000-0005-0000-0000-00004E5D0000}"/>
    <cellStyle name="Normal 284 3 6" xfId="23887" xr:uid="{00000000-0005-0000-0000-00004F5D0000}"/>
    <cellStyle name="Normal 284 4" xfId="23888" xr:uid="{00000000-0005-0000-0000-0000505D0000}"/>
    <cellStyle name="Normal 284 4 2" xfId="23889" xr:uid="{00000000-0005-0000-0000-0000515D0000}"/>
    <cellStyle name="Normal 284 4 2 2" xfId="23890" xr:uid="{00000000-0005-0000-0000-0000525D0000}"/>
    <cellStyle name="Normal 284 4 3" xfId="23891" xr:uid="{00000000-0005-0000-0000-0000535D0000}"/>
    <cellStyle name="Normal 284 5" xfId="23892" xr:uid="{00000000-0005-0000-0000-0000545D0000}"/>
    <cellStyle name="Normal 284 5 2" xfId="23893" xr:uid="{00000000-0005-0000-0000-0000555D0000}"/>
    <cellStyle name="Normal 284 5 2 2" xfId="23894" xr:uid="{00000000-0005-0000-0000-0000565D0000}"/>
    <cellStyle name="Normal 284 5 3" xfId="23895" xr:uid="{00000000-0005-0000-0000-0000575D0000}"/>
    <cellStyle name="Normal 284 6" xfId="23896" xr:uid="{00000000-0005-0000-0000-0000585D0000}"/>
    <cellStyle name="Normal 284 6 2" xfId="23897" xr:uid="{00000000-0005-0000-0000-0000595D0000}"/>
    <cellStyle name="Normal 284 6 2 2" xfId="23898" xr:uid="{00000000-0005-0000-0000-00005A5D0000}"/>
    <cellStyle name="Normal 284 6 3" xfId="23899" xr:uid="{00000000-0005-0000-0000-00005B5D0000}"/>
    <cellStyle name="Normal 284 7" xfId="23900" xr:uid="{00000000-0005-0000-0000-00005C5D0000}"/>
    <cellStyle name="Normal 285" xfId="23901" xr:uid="{00000000-0005-0000-0000-00005D5D0000}"/>
    <cellStyle name="Normal 285 2" xfId="23902" xr:uid="{00000000-0005-0000-0000-00005E5D0000}"/>
    <cellStyle name="Normal 285 2 2" xfId="23903" xr:uid="{00000000-0005-0000-0000-00005F5D0000}"/>
    <cellStyle name="Normal 285 2 2 2" xfId="23904" xr:uid="{00000000-0005-0000-0000-0000605D0000}"/>
    <cellStyle name="Normal 285 2 3" xfId="23905" xr:uid="{00000000-0005-0000-0000-0000615D0000}"/>
    <cellStyle name="Normal 285 2 3 2" xfId="23906" xr:uid="{00000000-0005-0000-0000-0000625D0000}"/>
    <cellStyle name="Normal 285 2 3 2 2" xfId="23907" xr:uid="{00000000-0005-0000-0000-0000635D0000}"/>
    <cellStyle name="Normal 285 2 3 3" xfId="23908" xr:uid="{00000000-0005-0000-0000-0000645D0000}"/>
    <cellStyle name="Normal 285 2 4" xfId="23909" xr:uid="{00000000-0005-0000-0000-0000655D0000}"/>
    <cellStyle name="Normal 285 2 4 2" xfId="23910" xr:uid="{00000000-0005-0000-0000-0000665D0000}"/>
    <cellStyle name="Normal 285 2 4 2 2" xfId="23911" xr:uid="{00000000-0005-0000-0000-0000675D0000}"/>
    <cellStyle name="Normal 285 2 4 3" xfId="23912" xr:uid="{00000000-0005-0000-0000-0000685D0000}"/>
    <cellStyle name="Normal 285 2 5" xfId="23913" xr:uid="{00000000-0005-0000-0000-0000695D0000}"/>
    <cellStyle name="Normal 285 3" xfId="23914" xr:uid="{00000000-0005-0000-0000-00006A5D0000}"/>
    <cellStyle name="Normal 285 3 2" xfId="23915" xr:uid="{00000000-0005-0000-0000-00006B5D0000}"/>
    <cellStyle name="Normal 285 3 2 2" xfId="23916" xr:uid="{00000000-0005-0000-0000-00006C5D0000}"/>
    <cellStyle name="Normal 285 3 2 2 2" xfId="23917" xr:uid="{00000000-0005-0000-0000-00006D5D0000}"/>
    <cellStyle name="Normal 285 3 2 3" xfId="23918" xr:uid="{00000000-0005-0000-0000-00006E5D0000}"/>
    <cellStyle name="Normal 285 3 2 3 2" xfId="23919" xr:uid="{00000000-0005-0000-0000-00006F5D0000}"/>
    <cellStyle name="Normal 285 3 2 3 2 2" xfId="23920" xr:uid="{00000000-0005-0000-0000-0000705D0000}"/>
    <cellStyle name="Normal 285 3 2 3 3" xfId="23921" xr:uid="{00000000-0005-0000-0000-0000715D0000}"/>
    <cellStyle name="Normal 285 3 2 4" xfId="23922" xr:uid="{00000000-0005-0000-0000-0000725D0000}"/>
    <cellStyle name="Normal 285 3 3" xfId="23923" xr:uid="{00000000-0005-0000-0000-0000735D0000}"/>
    <cellStyle name="Normal 285 3 3 2" xfId="23924" xr:uid="{00000000-0005-0000-0000-0000745D0000}"/>
    <cellStyle name="Normal 285 3 3 2 2" xfId="23925" xr:uid="{00000000-0005-0000-0000-0000755D0000}"/>
    <cellStyle name="Normal 285 3 3 3" xfId="23926" xr:uid="{00000000-0005-0000-0000-0000765D0000}"/>
    <cellStyle name="Normal 285 3 4" xfId="23927" xr:uid="{00000000-0005-0000-0000-0000775D0000}"/>
    <cellStyle name="Normal 285 3 4 2" xfId="23928" xr:uid="{00000000-0005-0000-0000-0000785D0000}"/>
    <cellStyle name="Normal 285 3 4 2 2" xfId="23929" xr:uid="{00000000-0005-0000-0000-0000795D0000}"/>
    <cellStyle name="Normal 285 3 4 3" xfId="23930" xr:uid="{00000000-0005-0000-0000-00007A5D0000}"/>
    <cellStyle name="Normal 285 3 5" xfId="23931" xr:uid="{00000000-0005-0000-0000-00007B5D0000}"/>
    <cellStyle name="Normal 285 3 5 2" xfId="23932" xr:uid="{00000000-0005-0000-0000-00007C5D0000}"/>
    <cellStyle name="Normal 285 3 5 2 2" xfId="23933" xr:uid="{00000000-0005-0000-0000-00007D5D0000}"/>
    <cellStyle name="Normal 285 3 5 3" xfId="23934" xr:uid="{00000000-0005-0000-0000-00007E5D0000}"/>
    <cellStyle name="Normal 285 3 6" xfId="23935" xr:uid="{00000000-0005-0000-0000-00007F5D0000}"/>
    <cellStyle name="Normal 285 4" xfId="23936" xr:uid="{00000000-0005-0000-0000-0000805D0000}"/>
    <cellStyle name="Normal 285 4 2" xfId="23937" xr:uid="{00000000-0005-0000-0000-0000815D0000}"/>
    <cellStyle name="Normal 285 4 2 2" xfId="23938" xr:uid="{00000000-0005-0000-0000-0000825D0000}"/>
    <cellStyle name="Normal 285 4 3" xfId="23939" xr:uid="{00000000-0005-0000-0000-0000835D0000}"/>
    <cellStyle name="Normal 285 5" xfId="23940" xr:uid="{00000000-0005-0000-0000-0000845D0000}"/>
    <cellStyle name="Normal 285 5 2" xfId="23941" xr:uid="{00000000-0005-0000-0000-0000855D0000}"/>
    <cellStyle name="Normal 285 5 2 2" xfId="23942" xr:uid="{00000000-0005-0000-0000-0000865D0000}"/>
    <cellStyle name="Normal 285 5 3" xfId="23943" xr:uid="{00000000-0005-0000-0000-0000875D0000}"/>
    <cellStyle name="Normal 285 6" xfId="23944" xr:uid="{00000000-0005-0000-0000-0000885D0000}"/>
    <cellStyle name="Normal 285 6 2" xfId="23945" xr:uid="{00000000-0005-0000-0000-0000895D0000}"/>
    <cellStyle name="Normal 285 6 2 2" xfId="23946" xr:uid="{00000000-0005-0000-0000-00008A5D0000}"/>
    <cellStyle name="Normal 285 6 3" xfId="23947" xr:uid="{00000000-0005-0000-0000-00008B5D0000}"/>
    <cellStyle name="Normal 285 7" xfId="23948" xr:uid="{00000000-0005-0000-0000-00008C5D0000}"/>
    <cellStyle name="Normal 286" xfId="23949" xr:uid="{00000000-0005-0000-0000-00008D5D0000}"/>
    <cellStyle name="Normal 286 2" xfId="23950" xr:uid="{00000000-0005-0000-0000-00008E5D0000}"/>
    <cellStyle name="Normal 286 2 2" xfId="23951" xr:uid="{00000000-0005-0000-0000-00008F5D0000}"/>
    <cellStyle name="Normal 286 2 2 2" xfId="23952" xr:uid="{00000000-0005-0000-0000-0000905D0000}"/>
    <cellStyle name="Normal 286 2 3" xfId="23953" xr:uid="{00000000-0005-0000-0000-0000915D0000}"/>
    <cellStyle name="Normal 286 2 3 2" xfId="23954" xr:uid="{00000000-0005-0000-0000-0000925D0000}"/>
    <cellStyle name="Normal 286 2 3 2 2" xfId="23955" xr:uid="{00000000-0005-0000-0000-0000935D0000}"/>
    <cellStyle name="Normal 286 2 3 3" xfId="23956" xr:uid="{00000000-0005-0000-0000-0000945D0000}"/>
    <cellStyle name="Normal 286 2 4" xfId="23957" xr:uid="{00000000-0005-0000-0000-0000955D0000}"/>
    <cellStyle name="Normal 286 2 4 2" xfId="23958" xr:uid="{00000000-0005-0000-0000-0000965D0000}"/>
    <cellStyle name="Normal 286 2 4 2 2" xfId="23959" xr:uid="{00000000-0005-0000-0000-0000975D0000}"/>
    <cellStyle name="Normal 286 2 4 3" xfId="23960" xr:uid="{00000000-0005-0000-0000-0000985D0000}"/>
    <cellStyle name="Normal 286 2 5" xfId="23961" xr:uid="{00000000-0005-0000-0000-0000995D0000}"/>
    <cellStyle name="Normal 286 3" xfId="23962" xr:uid="{00000000-0005-0000-0000-00009A5D0000}"/>
    <cellStyle name="Normal 286 3 2" xfId="23963" xr:uid="{00000000-0005-0000-0000-00009B5D0000}"/>
    <cellStyle name="Normal 286 3 2 2" xfId="23964" xr:uid="{00000000-0005-0000-0000-00009C5D0000}"/>
    <cellStyle name="Normal 286 3 2 2 2" xfId="23965" xr:uid="{00000000-0005-0000-0000-00009D5D0000}"/>
    <cellStyle name="Normal 286 3 2 3" xfId="23966" xr:uid="{00000000-0005-0000-0000-00009E5D0000}"/>
    <cellStyle name="Normal 286 3 2 3 2" xfId="23967" xr:uid="{00000000-0005-0000-0000-00009F5D0000}"/>
    <cellStyle name="Normal 286 3 2 3 2 2" xfId="23968" xr:uid="{00000000-0005-0000-0000-0000A05D0000}"/>
    <cellStyle name="Normal 286 3 2 3 3" xfId="23969" xr:uid="{00000000-0005-0000-0000-0000A15D0000}"/>
    <cellStyle name="Normal 286 3 2 4" xfId="23970" xr:uid="{00000000-0005-0000-0000-0000A25D0000}"/>
    <cellStyle name="Normal 286 3 3" xfId="23971" xr:uid="{00000000-0005-0000-0000-0000A35D0000}"/>
    <cellStyle name="Normal 286 3 3 2" xfId="23972" xr:uid="{00000000-0005-0000-0000-0000A45D0000}"/>
    <cellStyle name="Normal 286 3 3 2 2" xfId="23973" xr:uid="{00000000-0005-0000-0000-0000A55D0000}"/>
    <cellStyle name="Normal 286 3 3 3" xfId="23974" xr:uid="{00000000-0005-0000-0000-0000A65D0000}"/>
    <cellStyle name="Normal 286 3 4" xfId="23975" xr:uid="{00000000-0005-0000-0000-0000A75D0000}"/>
    <cellStyle name="Normal 286 3 4 2" xfId="23976" xr:uid="{00000000-0005-0000-0000-0000A85D0000}"/>
    <cellStyle name="Normal 286 3 4 2 2" xfId="23977" xr:uid="{00000000-0005-0000-0000-0000A95D0000}"/>
    <cellStyle name="Normal 286 3 4 3" xfId="23978" xr:uid="{00000000-0005-0000-0000-0000AA5D0000}"/>
    <cellStyle name="Normal 286 3 5" xfId="23979" xr:uid="{00000000-0005-0000-0000-0000AB5D0000}"/>
    <cellStyle name="Normal 286 3 5 2" xfId="23980" xr:uid="{00000000-0005-0000-0000-0000AC5D0000}"/>
    <cellStyle name="Normal 286 3 5 2 2" xfId="23981" xr:uid="{00000000-0005-0000-0000-0000AD5D0000}"/>
    <cellStyle name="Normal 286 3 5 3" xfId="23982" xr:uid="{00000000-0005-0000-0000-0000AE5D0000}"/>
    <cellStyle name="Normal 286 3 6" xfId="23983" xr:uid="{00000000-0005-0000-0000-0000AF5D0000}"/>
    <cellStyle name="Normal 286 4" xfId="23984" xr:uid="{00000000-0005-0000-0000-0000B05D0000}"/>
    <cellStyle name="Normal 286 4 2" xfId="23985" xr:uid="{00000000-0005-0000-0000-0000B15D0000}"/>
    <cellStyle name="Normal 286 4 2 2" xfId="23986" xr:uid="{00000000-0005-0000-0000-0000B25D0000}"/>
    <cellStyle name="Normal 286 4 3" xfId="23987" xr:uid="{00000000-0005-0000-0000-0000B35D0000}"/>
    <cellStyle name="Normal 286 5" xfId="23988" xr:uid="{00000000-0005-0000-0000-0000B45D0000}"/>
    <cellStyle name="Normal 286 5 2" xfId="23989" xr:uid="{00000000-0005-0000-0000-0000B55D0000}"/>
    <cellStyle name="Normal 286 5 2 2" xfId="23990" xr:uid="{00000000-0005-0000-0000-0000B65D0000}"/>
    <cellStyle name="Normal 286 5 3" xfId="23991" xr:uid="{00000000-0005-0000-0000-0000B75D0000}"/>
    <cellStyle name="Normal 286 6" xfId="23992" xr:uid="{00000000-0005-0000-0000-0000B85D0000}"/>
    <cellStyle name="Normal 286 6 2" xfId="23993" xr:uid="{00000000-0005-0000-0000-0000B95D0000}"/>
    <cellStyle name="Normal 286 6 2 2" xfId="23994" xr:uid="{00000000-0005-0000-0000-0000BA5D0000}"/>
    <cellStyle name="Normal 286 6 3" xfId="23995" xr:uid="{00000000-0005-0000-0000-0000BB5D0000}"/>
    <cellStyle name="Normal 286 7" xfId="23996" xr:uid="{00000000-0005-0000-0000-0000BC5D0000}"/>
    <cellStyle name="Normal 287" xfId="23997" xr:uid="{00000000-0005-0000-0000-0000BD5D0000}"/>
    <cellStyle name="Normal 287 2" xfId="23998" xr:uid="{00000000-0005-0000-0000-0000BE5D0000}"/>
    <cellStyle name="Normal 287 2 2" xfId="23999" xr:uid="{00000000-0005-0000-0000-0000BF5D0000}"/>
    <cellStyle name="Normal 287 2 2 2" xfId="24000" xr:uid="{00000000-0005-0000-0000-0000C05D0000}"/>
    <cellStyle name="Normal 287 2 3" xfId="24001" xr:uid="{00000000-0005-0000-0000-0000C15D0000}"/>
    <cellStyle name="Normal 287 2 3 2" xfId="24002" xr:uid="{00000000-0005-0000-0000-0000C25D0000}"/>
    <cellStyle name="Normal 287 2 3 2 2" xfId="24003" xr:uid="{00000000-0005-0000-0000-0000C35D0000}"/>
    <cellStyle name="Normal 287 2 3 3" xfId="24004" xr:uid="{00000000-0005-0000-0000-0000C45D0000}"/>
    <cellStyle name="Normal 287 2 4" xfId="24005" xr:uid="{00000000-0005-0000-0000-0000C55D0000}"/>
    <cellStyle name="Normal 287 2 4 2" xfId="24006" xr:uid="{00000000-0005-0000-0000-0000C65D0000}"/>
    <cellStyle name="Normal 287 2 4 2 2" xfId="24007" xr:uid="{00000000-0005-0000-0000-0000C75D0000}"/>
    <cellStyle name="Normal 287 2 4 3" xfId="24008" xr:uid="{00000000-0005-0000-0000-0000C85D0000}"/>
    <cellStyle name="Normal 287 2 5" xfId="24009" xr:uid="{00000000-0005-0000-0000-0000C95D0000}"/>
    <cellStyle name="Normal 287 3" xfId="24010" xr:uid="{00000000-0005-0000-0000-0000CA5D0000}"/>
    <cellStyle name="Normal 287 3 2" xfId="24011" xr:uid="{00000000-0005-0000-0000-0000CB5D0000}"/>
    <cellStyle name="Normal 287 3 2 2" xfId="24012" xr:uid="{00000000-0005-0000-0000-0000CC5D0000}"/>
    <cellStyle name="Normal 287 3 2 2 2" xfId="24013" xr:uid="{00000000-0005-0000-0000-0000CD5D0000}"/>
    <cellStyle name="Normal 287 3 2 3" xfId="24014" xr:uid="{00000000-0005-0000-0000-0000CE5D0000}"/>
    <cellStyle name="Normal 287 3 2 3 2" xfId="24015" xr:uid="{00000000-0005-0000-0000-0000CF5D0000}"/>
    <cellStyle name="Normal 287 3 2 3 2 2" xfId="24016" xr:uid="{00000000-0005-0000-0000-0000D05D0000}"/>
    <cellStyle name="Normal 287 3 2 3 3" xfId="24017" xr:uid="{00000000-0005-0000-0000-0000D15D0000}"/>
    <cellStyle name="Normal 287 3 2 4" xfId="24018" xr:uid="{00000000-0005-0000-0000-0000D25D0000}"/>
    <cellStyle name="Normal 287 3 3" xfId="24019" xr:uid="{00000000-0005-0000-0000-0000D35D0000}"/>
    <cellStyle name="Normal 287 3 3 2" xfId="24020" xr:uid="{00000000-0005-0000-0000-0000D45D0000}"/>
    <cellStyle name="Normal 287 3 3 2 2" xfId="24021" xr:uid="{00000000-0005-0000-0000-0000D55D0000}"/>
    <cellStyle name="Normal 287 3 3 3" xfId="24022" xr:uid="{00000000-0005-0000-0000-0000D65D0000}"/>
    <cellStyle name="Normal 287 3 4" xfId="24023" xr:uid="{00000000-0005-0000-0000-0000D75D0000}"/>
    <cellStyle name="Normal 287 3 4 2" xfId="24024" xr:uid="{00000000-0005-0000-0000-0000D85D0000}"/>
    <cellStyle name="Normal 287 3 4 2 2" xfId="24025" xr:uid="{00000000-0005-0000-0000-0000D95D0000}"/>
    <cellStyle name="Normal 287 3 4 3" xfId="24026" xr:uid="{00000000-0005-0000-0000-0000DA5D0000}"/>
    <cellStyle name="Normal 287 3 5" xfId="24027" xr:uid="{00000000-0005-0000-0000-0000DB5D0000}"/>
    <cellStyle name="Normal 287 3 5 2" xfId="24028" xr:uid="{00000000-0005-0000-0000-0000DC5D0000}"/>
    <cellStyle name="Normal 287 3 5 2 2" xfId="24029" xr:uid="{00000000-0005-0000-0000-0000DD5D0000}"/>
    <cellStyle name="Normal 287 3 5 3" xfId="24030" xr:uid="{00000000-0005-0000-0000-0000DE5D0000}"/>
    <cellStyle name="Normal 287 3 6" xfId="24031" xr:uid="{00000000-0005-0000-0000-0000DF5D0000}"/>
    <cellStyle name="Normal 287 4" xfId="24032" xr:uid="{00000000-0005-0000-0000-0000E05D0000}"/>
    <cellStyle name="Normal 287 4 2" xfId="24033" xr:uid="{00000000-0005-0000-0000-0000E15D0000}"/>
    <cellStyle name="Normal 287 4 2 2" xfId="24034" xr:uid="{00000000-0005-0000-0000-0000E25D0000}"/>
    <cellStyle name="Normal 287 4 3" xfId="24035" xr:uid="{00000000-0005-0000-0000-0000E35D0000}"/>
    <cellStyle name="Normal 287 5" xfId="24036" xr:uid="{00000000-0005-0000-0000-0000E45D0000}"/>
    <cellStyle name="Normal 287 5 2" xfId="24037" xr:uid="{00000000-0005-0000-0000-0000E55D0000}"/>
    <cellStyle name="Normal 287 5 2 2" xfId="24038" xr:uid="{00000000-0005-0000-0000-0000E65D0000}"/>
    <cellStyle name="Normal 287 5 3" xfId="24039" xr:uid="{00000000-0005-0000-0000-0000E75D0000}"/>
    <cellStyle name="Normal 287 6" xfId="24040" xr:uid="{00000000-0005-0000-0000-0000E85D0000}"/>
    <cellStyle name="Normal 287 6 2" xfId="24041" xr:uid="{00000000-0005-0000-0000-0000E95D0000}"/>
    <cellStyle name="Normal 287 6 2 2" xfId="24042" xr:uid="{00000000-0005-0000-0000-0000EA5D0000}"/>
    <cellStyle name="Normal 287 6 3" xfId="24043" xr:uid="{00000000-0005-0000-0000-0000EB5D0000}"/>
    <cellStyle name="Normal 287 7" xfId="24044" xr:uid="{00000000-0005-0000-0000-0000EC5D0000}"/>
    <cellStyle name="Normal 288" xfId="24045" xr:uid="{00000000-0005-0000-0000-0000ED5D0000}"/>
    <cellStyle name="Normal 288 2" xfId="24046" xr:uid="{00000000-0005-0000-0000-0000EE5D0000}"/>
    <cellStyle name="Normal 288 2 2" xfId="24047" xr:uid="{00000000-0005-0000-0000-0000EF5D0000}"/>
    <cellStyle name="Normal 288 2 2 2" xfId="24048" xr:uid="{00000000-0005-0000-0000-0000F05D0000}"/>
    <cellStyle name="Normal 288 2 3" xfId="24049" xr:uid="{00000000-0005-0000-0000-0000F15D0000}"/>
    <cellStyle name="Normal 288 2 3 2" xfId="24050" xr:uid="{00000000-0005-0000-0000-0000F25D0000}"/>
    <cellStyle name="Normal 288 2 3 2 2" xfId="24051" xr:uid="{00000000-0005-0000-0000-0000F35D0000}"/>
    <cellStyle name="Normal 288 2 3 3" xfId="24052" xr:uid="{00000000-0005-0000-0000-0000F45D0000}"/>
    <cellStyle name="Normal 288 2 4" xfId="24053" xr:uid="{00000000-0005-0000-0000-0000F55D0000}"/>
    <cellStyle name="Normal 288 2 4 2" xfId="24054" xr:uid="{00000000-0005-0000-0000-0000F65D0000}"/>
    <cellStyle name="Normal 288 2 4 2 2" xfId="24055" xr:uid="{00000000-0005-0000-0000-0000F75D0000}"/>
    <cellStyle name="Normal 288 2 4 3" xfId="24056" xr:uid="{00000000-0005-0000-0000-0000F85D0000}"/>
    <cellStyle name="Normal 288 2 5" xfId="24057" xr:uid="{00000000-0005-0000-0000-0000F95D0000}"/>
    <cellStyle name="Normal 288 3" xfId="24058" xr:uid="{00000000-0005-0000-0000-0000FA5D0000}"/>
    <cellStyle name="Normal 288 3 2" xfId="24059" xr:uid="{00000000-0005-0000-0000-0000FB5D0000}"/>
    <cellStyle name="Normal 288 3 2 2" xfId="24060" xr:uid="{00000000-0005-0000-0000-0000FC5D0000}"/>
    <cellStyle name="Normal 288 3 2 2 2" xfId="24061" xr:uid="{00000000-0005-0000-0000-0000FD5D0000}"/>
    <cellStyle name="Normal 288 3 2 3" xfId="24062" xr:uid="{00000000-0005-0000-0000-0000FE5D0000}"/>
    <cellStyle name="Normal 288 3 2 3 2" xfId="24063" xr:uid="{00000000-0005-0000-0000-0000FF5D0000}"/>
    <cellStyle name="Normal 288 3 2 3 2 2" xfId="24064" xr:uid="{00000000-0005-0000-0000-0000005E0000}"/>
    <cellStyle name="Normal 288 3 2 3 3" xfId="24065" xr:uid="{00000000-0005-0000-0000-0000015E0000}"/>
    <cellStyle name="Normal 288 3 2 4" xfId="24066" xr:uid="{00000000-0005-0000-0000-0000025E0000}"/>
    <cellStyle name="Normal 288 3 3" xfId="24067" xr:uid="{00000000-0005-0000-0000-0000035E0000}"/>
    <cellStyle name="Normal 288 3 3 2" xfId="24068" xr:uid="{00000000-0005-0000-0000-0000045E0000}"/>
    <cellStyle name="Normal 288 3 3 2 2" xfId="24069" xr:uid="{00000000-0005-0000-0000-0000055E0000}"/>
    <cellStyle name="Normal 288 3 3 3" xfId="24070" xr:uid="{00000000-0005-0000-0000-0000065E0000}"/>
    <cellStyle name="Normal 288 3 4" xfId="24071" xr:uid="{00000000-0005-0000-0000-0000075E0000}"/>
    <cellStyle name="Normal 288 3 4 2" xfId="24072" xr:uid="{00000000-0005-0000-0000-0000085E0000}"/>
    <cellStyle name="Normal 288 3 4 2 2" xfId="24073" xr:uid="{00000000-0005-0000-0000-0000095E0000}"/>
    <cellStyle name="Normal 288 3 4 3" xfId="24074" xr:uid="{00000000-0005-0000-0000-00000A5E0000}"/>
    <cellStyle name="Normal 288 3 5" xfId="24075" xr:uid="{00000000-0005-0000-0000-00000B5E0000}"/>
    <cellStyle name="Normal 288 3 5 2" xfId="24076" xr:uid="{00000000-0005-0000-0000-00000C5E0000}"/>
    <cellStyle name="Normal 288 3 5 2 2" xfId="24077" xr:uid="{00000000-0005-0000-0000-00000D5E0000}"/>
    <cellStyle name="Normal 288 3 5 3" xfId="24078" xr:uid="{00000000-0005-0000-0000-00000E5E0000}"/>
    <cellStyle name="Normal 288 3 6" xfId="24079" xr:uid="{00000000-0005-0000-0000-00000F5E0000}"/>
    <cellStyle name="Normal 288 4" xfId="24080" xr:uid="{00000000-0005-0000-0000-0000105E0000}"/>
    <cellStyle name="Normal 288 4 2" xfId="24081" xr:uid="{00000000-0005-0000-0000-0000115E0000}"/>
    <cellStyle name="Normal 288 4 2 2" xfId="24082" xr:uid="{00000000-0005-0000-0000-0000125E0000}"/>
    <cellStyle name="Normal 288 4 3" xfId="24083" xr:uid="{00000000-0005-0000-0000-0000135E0000}"/>
    <cellStyle name="Normal 288 5" xfId="24084" xr:uid="{00000000-0005-0000-0000-0000145E0000}"/>
    <cellStyle name="Normal 288 5 2" xfId="24085" xr:uid="{00000000-0005-0000-0000-0000155E0000}"/>
    <cellStyle name="Normal 288 5 2 2" xfId="24086" xr:uid="{00000000-0005-0000-0000-0000165E0000}"/>
    <cellStyle name="Normal 288 5 3" xfId="24087" xr:uid="{00000000-0005-0000-0000-0000175E0000}"/>
    <cellStyle name="Normal 288 6" xfId="24088" xr:uid="{00000000-0005-0000-0000-0000185E0000}"/>
    <cellStyle name="Normal 288 6 2" xfId="24089" xr:uid="{00000000-0005-0000-0000-0000195E0000}"/>
    <cellStyle name="Normal 288 6 2 2" xfId="24090" xr:uid="{00000000-0005-0000-0000-00001A5E0000}"/>
    <cellStyle name="Normal 288 6 3" xfId="24091" xr:uid="{00000000-0005-0000-0000-00001B5E0000}"/>
    <cellStyle name="Normal 288 7" xfId="24092" xr:uid="{00000000-0005-0000-0000-00001C5E0000}"/>
    <cellStyle name="Normal 289" xfId="24093" xr:uid="{00000000-0005-0000-0000-00001D5E0000}"/>
    <cellStyle name="Normal 289 2" xfId="24094" xr:uid="{00000000-0005-0000-0000-00001E5E0000}"/>
    <cellStyle name="Normal 289 2 2" xfId="24095" xr:uid="{00000000-0005-0000-0000-00001F5E0000}"/>
    <cellStyle name="Normal 289 2 2 2" xfId="24096" xr:uid="{00000000-0005-0000-0000-0000205E0000}"/>
    <cellStyle name="Normal 289 2 3" xfId="24097" xr:uid="{00000000-0005-0000-0000-0000215E0000}"/>
    <cellStyle name="Normal 289 2 3 2" xfId="24098" xr:uid="{00000000-0005-0000-0000-0000225E0000}"/>
    <cellStyle name="Normal 289 2 3 2 2" xfId="24099" xr:uid="{00000000-0005-0000-0000-0000235E0000}"/>
    <cellStyle name="Normal 289 2 3 3" xfId="24100" xr:uid="{00000000-0005-0000-0000-0000245E0000}"/>
    <cellStyle name="Normal 289 2 4" xfId="24101" xr:uid="{00000000-0005-0000-0000-0000255E0000}"/>
    <cellStyle name="Normal 289 2 4 2" xfId="24102" xr:uid="{00000000-0005-0000-0000-0000265E0000}"/>
    <cellStyle name="Normal 289 2 4 2 2" xfId="24103" xr:uid="{00000000-0005-0000-0000-0000275E0000}"/>
    <cellStyle name="Normal 289 2 4 3" xfId="24104" xr:uid="{00000000-0005-0000-0000-0000285E0000}"/>
    <cellStyle name="Normal 289 2 5" xfId="24105" xr:uid="{00000000-0005-0000-0000-0000295E0000}"/>
    <cellStyle name="Normal 289 3" xfId="24106" xr:uid="{00000000-0005-0000-0000-00002A5E0000}"/>
    <cellStyle name="Normal 289 3 2" xfId="24107" xr:uid="{00000000-0005-0000-0000-00002B5E0000}"/>
    <cellStyle name="Normal 289 3 2 2" xfId="24108" xr:uid="{00000000-0005-0000-0000-00002C5E0000}"/>
    <cellStyle name="Normal 289 3 2 2 2" xfId="24109" xr:uid="{00000000-0005-0000-0000-00002D5E0000}"/>
    <cellStyle name="Normal 289 3 2 3" xfId="24110" xr:uid="{00000000-0005-0000-0000-00002E5E0000}"/>
    <cellStyle name="Normal 289 3 2 3 2" xfId="24111" xr:uid="{00000000-0005-0000-0000-00002F5E0000}"/>
    <cellStyle name="Normal 289 3 2 3 2 2" xfId="24112" xr:uid="{00000000-0005-0000-0000-0000305E0000}"/>
    <cellStyle name="Normal 289 3 2 3 3" xfId="24113" xr:uid="{00000000-0005-0000-0000-0000315E0000}"/>
    <cellStyle name="Normal 289 3 2 4" xfId="24114" xr:uid="{00000000-0005-0000-0000-0000325E0000}"/>
    <cellStyle name="Normal 289 3 3" xfId="24115" xr:uid="{00000000-0005-0000-0000-0000335E0000}"/>
    <cellStyle name="Normal 289 3 3 2" xfId="24116" xr:uid="{00000000-0005-0000-0000-0000345E0000}"/>
    <cellStyle name="Normal 289 3 3 2 2" xfId="24117" xr:uid="{00000000-0005-0000-0000-0000355E0000}"/>
    <cellStyle name="Normal 289 3 3 3" xfId="24118" xr:uid="{00000000-0005-0000-0000-0000365E0000}"/>
    <cellStyle name="Normal 289 3 4" xfId="24119" xr:uid="{00000000-0005-0000-0000-0000375E0000}"/>
    <cellStyle name="Normal 289 3 4 2" xfId="24120" xr:uid="{00000000-0005-0000-0000-0000385E0000}"/>
    <cellStyle name="Normal 289 3 4 2 2" xfId="24121" xr:uid="{00000000-0005-0000-0000-0000395E0000}"/>
    <cellStyle name="Normal 289 3 4 3" xfId="24122" xr:uid="{00000000-0005-0000-0000-00003A5E0000}"/>
    <cellStyle name="Normal 289 3 5" xfId="24123" xr:uid="{00000000-0005-0000-0000-00003B5E0000}"/>
    <cellStyle name="Normal 289 3 5 2" xfId="24124" xr:uid="{00000000-0005-0000-0000-00003C5E0000}"/>
    <cellStyle name="Normal 289 3 5 2 2" xfId="24125" xr:uid="{00000000-0005-0000-0000-00003D5E0000}"/>
    <cellStyle name="Normal 289 3 5 3" xfId="24126" xr:uid="{00000000-0005-0000-0000-00003E5E0000}"/>
    <cellStyle name="Normal 289 3 6" xfId="24127" xr:uid="{00000000-0005-0000-0000-00003F5E0000}"/>
    <cellStyle name="Normal 289 4" xfId="24128" xr:uid="{00000000-0005-0000-0000-0000405E0000}"/>
    <cellStyle name="Normal 289 4 2" xfId="24129" xr:uid="{00000000-0005-0000-0000-0000415E0000}"/>
    <cellStyle name="Normal 289 4 2 2" xfId="24130" xr:uid="{00000000-0005-0000-0000-0000425E0000}"/>
    <cellStyle name="Normal 289 4 3" xfId="24131" xr:uid="{00000000-0005-0000-0000-0000435E0000}"/>
    <cellStyle name="Normal 289 5" xfId="24132" xr:uid="{00000000-0005-0000-0000-0000445E0000}"/>
    <cellStyle name="Normal 289 5 2" xfId="24133" xr:uid="{00000000-0005-0000-0000-0000455E0000}"/>
    <cellStyle name="Normal 289 5 2 2" xfId="24134" xr:uid="{00000000-0005-0000-0000-0000465E0000}"/>
    <cellStyle name="Normal 289 5 3" xfId="24135" xr:uid="{00000000-0005-0000-0000-0000475E0000}"/>
    <cellStyle name="Normal 289 6" xfId="24136" xr:uid="{00000000-0005-0000-0000-0000485E0000}"/>
    <cellStyle name="Normal 289 6 2" xfId="24137" xr:uid="{00000000-0005-0000-0000-0000495E0000}"/>
    <cellStyle name="Normal 289 6 2 2" xfId="24138" xr:uid="{00000000-0005-0000-0000-00004A5E0000}"/>
    <cellStyle name="Normal 289 6 3" xfId="24139" xr:uid="{00000000-0005-0000-0000-00004B5E0000}"/>
    <cellStyle name="Normal 289 7" xfId="24140" xr:uid="{00000000-0005-0000-0000-00004C5E0000}"/>
    <cellStyle name="Normal 29" xfId="24141" xr:uid="{00000000-0005-0000-0000-00004D5E0000}"/>
    <cellStyle name="Normal 29 2" xfId="24142" xr:uid="{00000000-0005-0000-0000-00004E5E0000}"/>
    <cellStyle name="Normal 29 2 2" xfId="24143" xr:uid="{00000000-0005-0000-0000-00004F5E0000}"/>
    <cellStyle name="Normal 29 2 2 2" xfId="24144" xr:uid="{00000000-0005-0000-0000-0000505E0000}"/>
    <cellStyle name="Normal 29 2 2 2 2" xfId="24145" xr:uid="{00000000-0005-0000-0000-0000515E0000}"/>
    <cellStyle name="Normal 29 2 2 3" xfId="24146" xr:uid="{00000000-0005-0000-0000-0000525E0000}"/>
    <cellStyle name="Normal 29 2 2 3 2" xfId="24147" xr:uid="{00000000-0005-0000-0000-0000535E0000}"/>
    <cellStyle name="Normal 29 2 2 3 2 2" xfId="24148" xr:uid="{00000000-0005-0000-0000-0000545E0000}"/>
    <cellStyle name="Normal 29 2 2 3 3" xfId="24149" xr:uid="{00000000-0005-0000-0000-0000555E0000}"/>
    <cellStyle name="Normal 29 2 2 4" xfId="24150" xr:uid="{00000000-0005-0000-0000-0000565E0000}"/>
    <cellStyle name="Normal 29 2 2 4 2" xfId="24151" xr:uid="{00000000-0005-0000-0000-0000575E0000}"/>
    <cellStyle name="Normal 29 2 2 4 2 2" xfId="24152" xr:uid="{00000000-0005-0000-0000-0000585E0000}"/>
    <cellStyle name="Normal 29 2 2 4 3" xfId="24153" xr:uid="{00000000-0005-0000-0000-0000595E0000}"/>
    <cellStyle name="Normal 29 2 2 5" xfId="24154" xr:uid="{00000000-0005-0000-0000-00005A5E0000}"/>
    <cellStyle name="Normal 29 2 3" xfId="24155" xr:uid="{00000000-0005-0000-0000-00005B5E0000}"/>
    <cellStyle name="Normal 29 2 3 2" xfId="24156" xr:uid="{00000000-0005-0000-0000-00005C5E0000}"/>
    <cellStyle name="Normal 29 2 3 2 2" xfId="24157" xr:uid="{00000000-0005-0000-0000-00005D5E0000}"/>
    <cellStyle name="Normal 29 2 3 3" xfId="24158" xr:uid="{00000000-0005-0000-0000-00005E5E0000}"/>
    <cellStyle name="Normal 29 2 4" xfId="24159" xr:uid="{00000000-0005-0000-0000-00005F5E0000}"/>
    <cellStyle name="Normal 29 2 4 2" xfId="24160" xr:uid="{00000000-0005-0000-0000-0000605E0000}"/>
    <cellStyle name="Normal 29 2 4 2 2" xfId="24161" xr:uid="{00000000-0005-0000-0000-0000615E0000}"/>
    <cellStyle name="Normal 29 2 4 3" xfId="24162" xr:uid="{00000000-0005-0000-0000-0000625E0000}"/>
    <cellStyle name="Normal 29 2 5" xfId="24163" xr:uid="{00000000-0005-0000-0000-0000635E0000}"/>
    <cellStyle name="Normal 29 2 5 2" xfId="24164" xr:uid="{00000000-0005-0000-0000-0000645E0000}"/>
    <cellStyle name="Normal 29 2 5 2 2" xfId="24165" xr:uid="{00000000-0005-0000-0000-0000655E0000}"/>
    <cellStyle name="Normal 29 2 5 3" xfId="24166" xr:uid="{00000000-0005-0000-0000-0000665E0000}"/>
    <cellStyle name="Normal 29 2 6" xfId="24167" xr:uid="{00000000-0005-0000-0000-0000675E0000}"/>
    <cellStyle name="Normal 29 3" xfId="24168" xr:uid="{00000000-0005-0000-0000-0000685E0000}"/>
    <cellStyle name="Normal 29 3 2" xfId="24169" xr:uid="{00000000-0005-0000-0000-0000695E0000}"/>
    <cellStyle name="Normal 29 3 2 2" xfId="24170" xr:uid="{00000000-0005-0000-0000-00006A5E0000}"/>
    <cellStyle name="Normal 29 3 3" xfId="24171" xr:uid="{00000000-0005-0000-0000-00006B5E0000}"/>
    <cellStyle name="Normal 29 3 3 2" xfId="24172" xr:uid="{00000000-0005-0000-0000-00006C5E0000}"/>
    <cellStyle name="Normal 29 3 3 2 2" xfId="24173" xr:uid="{00000000-0005-0000-0000-00006D5E0000}"/>
    <cellStyle name="Normal 29 3 3 3" xfId="24174" xr:uid="{00000000-0005-0000-0000-00006E5E0000}"/>
    <cellStyle name="Normal 29 3 4" xfId="24175" xr:uid="{00000000-0005-0000-0000-00006F5E0000}"/>
    <cellStyle name="Normal 29 3 4 2" xfId="24176" xr:uid="{00000000-0005-0000-0000-0000705E0000}"/>
    <cellStyle name="Normal 29 3 4 2 2" xfId="24177" xr:uid="{00000000-0005-0000-0000-0000715E0000}"/>
    <cellStyle name="Normal 29 3 4 3" xfId="24178" xr:uid="{00000000-0005-0000-0000-0000725E0000}"/>
    <cellStyle name="Normal 29 3 5" xfId="24179" xr:uid="{00000000-0005-0000-0000-0000735E0000}"/>
    <cellStyle name="Normal 29 4" xfId="24180" xr:uid="{00000000-0005-0000-0000-0000745E0000}"/>
    <cellStyle name="Normal 29 4 2" xfId="24181" xr:uid="{00000000-0005-0000-0000-0000755E0000}"/>
    <cellStyle name="Normal 29 4 2 2" xfId="24182" xr:uid="{00000000-0005-0000-0000-0000765E0000}"/>
    <cellStyle name="Normal 29 4 3" xfId="24183" xr:uid="{00000000-0005-0000-0000-0000775E0000}"/>
    <cellStyle name="Normal 29 5" xfId="24184" xr:uid="{00000000-0005-0000-0000-0000785E0000}"/>
    <cellStyle name="Normal 29 5 2" xfId="24185" xr:uid="{00000000-0005-0000-0000-0000795E0000}"/>
    <cellStyle name="Normal 29 5 2 2" xfId="24186" xr:uid="{00000000-0005-0000-0000-00007A5E0000}"/>
    <cellStyle name="Normal 29 5 3" xfId="24187" xr:uid="{00000000-0005-0000-0000-00007B5E0000}"/>
    <cellStyle name="Normal 29 6" xfId="24188" xr:uid="{00000000-0005-0000-0000-00007C5E0000}"/>
    <cellStyle name="Normal 29 6 2" xfId="24189" xr:uid="{00000000-0005-0000-0000-00007D5E0000}"/>
    <cellStyle name="Normal 29 6 2 2" xfId="24190" xr:uid="{00000000-0005-0000-0000-00007E5E0000}"/>
    <cellStyle name="Normal 29 6 3" xfId="24191" xr:uid="{00000000-0005-0000-0000-00007F5E0000}"/>
    <cellStyle name="Normal 29 7" xfId="24192" xr:uid="{00000000-0005-0000-0000-0000805E0000}"/>
    <cellStyle name="Normal 290" xfId="24193" xr:uid="{00000000-0005-0000-0000-0000815E0000}"/>
    <cellStyle name="Normal 290 2" xfId="24194" xr:uid="{00000000-0005-0000-0000-0000825E0000}"/>
    <cellStyle name="Normal 290 2 2" xfId="24195" xr:uid="{00000000-0005-0000-0000-0000835E0000}"/>
    <cellStyle name="Normal 290 2 2 2" xfId="24196" xr:uid="{00000000-0005-0000-0000-0000845E0000}"/>
    <cellStyle name="Normal 290 2 3" xfId="24197" xr:uid="{00000000-0005-0000-0000-0000855E0000}"/>
    <cellStyle name="Normal 290 2 3 2" xfId="24198" xr:uid="{00000000-0005-0000-0000-0000865E0000}"/>
    <cellStyle name="Normal 290 2 3 2 2" xfId="24199" xr:uid="{00000000-0005-0000-0000-0000875E0000}"/>
    <cellStyle name="Normal 290 2 3 3" xfId="24200" xr:uid="{00000000-0005-0000-0000-0000885E0000}"/>
    <cellStyle name="Normal 290 2 4" xfId="24201" xr:uid="{00000000-0005-0000-0000-0000895E0000}"/>
    <cellStyle name="Normal 290 2 4 2" xfId="24202" xr:uid="{00000000-0005-0000-0000-00008A5E0000}"/>
    <cellStyle name="Normal 290 2 4 2 2" xfId="24203" xr:uid="{00000000-0005-0000-0000-00008B5E0000}"/>
    <cellStyle name="Normal 290 2 4 3" xfId="24204" xr:uid="{00000000-0005-0000-0000-00008C5E0000}"/>
    <cellStyle name="Normal 290 2 5" xfId="24205" xr:uid="{00000000-0005-0000-0000-00008D5E0000}"/>
    <cellStyle name="Normal 290 3" xfId="24206" xr:uid="{00000000-0005-0000-0000-00008E5E0000}"/>
    <cellStyle name="Normal 290 3 2" xfId="24207" xr:uid="{00000000-0005-0000-0000-00008F5E0000}"/>
    <cellStyle name="Normal 290 3 2 2" xfId="24208" xr:uid="{00000000-0005-0000-0000-0000905E0000}"/>
    <cellStyle name="Normal 290 3 2 2 2" xfId="24209" xr:uid="{00000000-0005-0000-0000-0000915E0000}"/>
    <cellStyle name="Normal 290 3 2 3" xfId="24210" xr:uid="{00000000-0005-0000-0000-0000925E0000}"/>
    <cellStyle name="Normal 290 3 2 3 2" xfId="24211" xr:uid="{00000000-0005-0000-0000-0000935E0000}"/>
    <cellStyle name="Normal 290 3 2 3 2 2" xfId="24212" xr:uid="{00000000-0005-0000-0000-0000945E0000}"/>
    <cellStyle name="Normal 290 3 2 3 3" xfId="24213" xr:uid="{00000000-0005-0000-0000-0000955E0000}"/>
    <cellStyle name="Normal 290 3 2 4" xfId="24214" xr:uid="{00000000-0005-0000-0000-0000965E0000}"/>
    <cellStyle name="Normal 290 3 3" xfId="24215" xr:uid="{00000000-0005-0000-0000-0000975E0000}"/>
    <cellStyle name="Normal 290 3 3 2" xfId="24216" xr:uid="{00000000-0005-0000-0000-0000985E0000}"/>
    <cellStyle name="Normal 290 3 3 2 2" xfId="24217" xr:uid="{00000000-0005-0000-0000-0000995E0000}"/>
    <cellStyle name="Normal 290 3 3 3" xfId="24218" xr:uid="{00000000-0005-0000-0000-00009A5E0000}"/>
    <cellStyle name="Normal 290 3 4" xfId="24219" xr:uid="{00000000-0005-0000-0000-00009B5E0000}"/>
    <cellStyle name="Normal 290 3 4 2" xfId="24220" xr:uid="{00000000-0005-0000-0000-00009C5E0000}"/>
    <cellStyle name="Normal 290 3 4 2 2" xfId="24221" xr:uid="{00000000-0005-0000-0000-00009D5E0000}"/>
    <cellStyle name="Normal 290 3 4 3" xfId="24222" xr:uid="{00000000-0005-0000-0000-00009E5E0000}"/>
    <cellStyle name="Normal 290 3 5" xfId="24223" xr:uid="{00000000-0005-0000-0000-00009F5E0000}"/>
    <cellStyle name="Normal 290 3 5 2" xfId="24224" xr:uid="{00000000-0005-0000-0000-0000A05E0000}"/>
    <cellStyle name="Normal 290 3 5 2 2" xfId="24225" xr:uid="{00000000-0005-0000-0000-0000A15E0000}"/>
    <cellStyle name="Normal 290 3 5 3" xfId="24226" xr:uid="{00000000-0005-0000-0000-0000A25E0000}"/>
    <cellStyle name="Normal 290 3 6" xfId="24227" xr:uid="{00000000-0005-0000-0000-0000A35E0000}"/>
    <cellStyle name="Normal 290 4" xfId="24228" xr:uid="{00000000-0005-0000-0000-0000A45E0000}"/>
    <cellStyle name="Normal 290 4 2" xfId="24229" xr:uid="{00000000-0005-0000-0000-0000A55E0000}"/>
    <cellStyle name="Normal 290 4 2 2" xfId="24230" xr:uid="{00000000-0005-0000-0000-0000A65E0000}"/>
    <cellStyle name="Normal 290 4 3" xfId="24231" xr:uid="{00000000-0005-0000-0000-0000A75E0000}"/>
    <cellStyle name="Normal 290 5" xfId="24232" xr:uid="{00000000-0005-0000-0000-0000A85E0000}"/>
    <cellStyle name="Normal 290 5 2" xfId="24233" xr:uid="{00000000-0005-0000-0000-0000A95E0000}"/>
    <cellStyle name="Normal 290 5 2 2" xfId="24234" xr:uid="{00000000-0005-0000-0000-0000AA5E0000}"/>
    <cellStyle name="Normal 290 5 3" xfId="24235" xr:uid="{00000000-0005-0000-0000-0000AB5E0000}"/>
    <cellStyle name="Normal 290 6" xfId="24236" xr:uid="{00000000-0005-0000-0000-0000AC5E0000}"/>
    <cellStyle name="Normal 290 6 2" xfId="24237" xr:uid="{00000000-0005-0000-0000-0000AD5E0000}"/>
    <cellStyle name="Normal 290 6 2 2" xfId="24238" xr:uid="{00000000-0005-0000-0000-0000AE5E0000}"/>
    <cellStyle name="Normal 290 6 3" xfId="24239" xr:uid="{00000000-0005-0000-0000-0000AF5E0000}"/>
    <cellStyle name="Normal 290 7" xfId="24240" xr:uid="{00000000-0005-0000-0000-0000B05E0000}"/>
    <cellStyle name="Normal 291" xfId="24241" xr:uid="{00000000-0005-0000-0000-0000B15E0000}"/>
    <cellStyle name="Normal 291 2" xfId="24242" xr:uid="{00000000-0005-0000-0000-0000B25E0000}"/>
    <cellStyle name="Normal 291 2 2" xfId="24243" xr:uid="{00000000-0005-0000-0000-0000B35E0000}"/>
    <cellStyle name="Normal 291 2 2 2" xfId="24244" xr:uid="{00000000-0005-0000-0000-0000B45E0000}"/>
    <cellStyle name="Normal 291 2 3" xfId="24245" xr:uid="{00000000-0005-0000-0000-0000B55E0000}"/>
    <cellStyle name="Normal 291 2 3 2" xfId="24246" xr:uid="{00000000-0005-0000-0000-0000B65E0000}"/>
    <cellStyle name="Normal 291 2 3 2 2" xfId="24247" xr:uid="{00000000-0005-0000-0000-0000B75E0000}"/>
    <cellStyle name="Normal 291 2 3 3" xfId="24248" xr:uid="{00000000-0005-0000-0000-0000B85E0000}"/>
    <cellStyle name="Normal 291 2 4" xfId="24249" xr:uid="{00000000-0005-0000-0000-0000B95E0000}"/>
    <cellStyle name="Normal 291 2 4 2" xfId="24250" xr:uid="{00000000-0005-0000-0000-0000BA5E0000}"/>
    <cellStyle name="Normal 291 2 4 2 2" xfId="24251" xr:uid="{00000000-0005-0000-0000-0000BB5E0000}"/>
    <cellStyle name="Normal 291 2 4 3" xfId="24252" xr:uid="{00000000-0005-0000-0000-0000BC5E0000}"/>
    <cellStyle name="Normal 291 2 5" xfId="24253" xr:uid="{00000000-0005-0000-0000-0000BD5E0000}"/>
    <cellStyle name="Normal 291 3" xfId="24254" xr:uid="{00000000-0005-0000-0000-0000BE5E0000}"/>
    <cellStyle name="Normal 291 3 2" xfId="24255" xr:uid="{00000000-0005-0000-0000-0000BF5E0000}"/>
    <cellStyle name="Normal 291 3 2 2" xfId="24256" xr:uid="{00000000-0005-0000-0000-0000C05E0000}"/>
    <cellStyle name="Normal 291 3 2 2 2" xfId="24257" xr:uid="{00000000-0005-0000-0000-0000C15E0000}"/>
    <cellStyle name="Normal 291 3 2 3" xfId="24258" xr:uid="{00000000-0005-0000-0000-0000C25E0000}"/>
    <cellStyle name="Normal 291 3 2 3 2" xfId="24259" xr:uid="{00000000-0005-0000-0000-0000C35E0000}"/>
    <cellStyle name="Normal 291 3 2 3 2 2" xfId="24260" xr:uid="{00000000-0005-0000-0000-0000C45E0000}"/>
    <cellStyle name="Normal 291 3 2 3 3" xfId="24261" xr:uid="{00000000-0005-0000-0000-0000C55E0000}"/>
    <cellStyle name="Normal 291 3 2 4" xfId="24262" xr:uid="{00000000-0005-0000-0000-0000C65E0000}"/>
    <cellStyle name="Normal 291 3 3" xfId="24263" xr:uid="{00000000-0005-0000-0000-0000C75E0000}"/>
    <cellStyle name="Normal 291 3 3 2" xfId="24264" xr:uid="{00000000-0005-0000-0000-0000C85E0000}"/>
    <cellStyle name="Normal 291 3 3 2 2" xfId="24265" xr:uid="{00000000-0005-0000-0000-0000C95E0000}"/>
    <cellStyle name="Normal 291 3 3 3" xfId="24266" xr:uid="{00000000-0005-0000-0000-0000CA5E0000}"/>
    <cellStyle name="Normal 291 3 4" xfId="24267" xr:uid="{00000000-0005-0000-0000-0000CB5E0000}"/>
    <cellStyle name="Normal 291 3 4 2" xfId="24268" xr:uid="{00000000-0005-0000-0000-0000CC5E0000}"/>
    <cellStyle name="Normal 291 3 4 2 2" xfId="24269" xr:uid="{00000000-0005-0000-0000-0000CD5E0000}"/>
    <cellStyle name="Normal 291 3 4 3" xfId="24270" xr:uid="{00000000-0005-0000-0000-0000CE5E0000}"/>
    <cellStyle name="Normal 291 3 5" xfId="24271" xr:uid="{00000000-0005-0000-0000-0000CF5E0000}"/>
    <cellStyle name="Normal 291 3 5 2" xfId="24272" xr:uid="{00000000-0005-0000-0000-0000D05E0000}"/>
    <cellStyle name="Normal 291 3 5 2 2" xfId="24273" xr:uid="{00000000-0005-0000-0000-0000D15E0000}"/>
    <cellStyle name="Normal 291 3 5 3" xfId="24274" xr:uid="{00000000-0005-0000-0000-0000D25E0000}"/>
    <cellStyle name="Normal 291 3 6" xfId="24275" xr:uid="{00000000-0005-0000-0000-0000D35E0000}"/>
    <cellStyle name="Normal 291 4" xfId="24276" xr:uid="{00000000-0005-0000-0000-0000D45E0000}"/>
    <cellStyle name="Normal 291 4 2" xfId="24277" xr:uid="{00000000-0005-0000-0000-0000D55E0000}"/>
    <cellStyle name="Normal 291 4 2 2" xfId="24278" xr:uid="{00000000-0005-0000-0000-0000D65E0000}"/>
    <cellStyle name="Normal 291 4 3" xfId="24279" xr:uid="{00000000-0005-0000-0000-0000D75E0000}"/>
    <cellStyle name="Normal 291 5" xfId="24280" xr:uid="{00000000-0005-0000-0000-0000D85E0000}"/>
    <cellStyle name="Normal 291 5 2" xfId="24281" xr:uid="{00000000-0005-0000-0000-0000D95E0000}"/>
    <cellStyle name="Normal 291 5 2 2" xfId="24282" xr:uid="{00000000-0005-0000-0000-0000DA5E0000}"/>
    <cellStyle name="Normal 291 5 3" xfId="24283" xr:uid="{00000000-0005-0000-0000-0000DB5E0000}"/>
    <cellStyle name="Normal 291 6" xfId="24284" xr:uid="{00000000-0005-0000-0000-0000DC5E0000}"/>
    <cellStyle name="Normal 291 6 2" xfId="24285" xr:uid="{00000000-0005-0000-0000-0000DD5E0000}"/>
    <cellStyle name="Normal 291 6 2 2" xfId="24286" xr:uid="{00000000-0005-0000-0000-0000DE5E0000}"/>
    <cellStyle name="Normal 291 6 3" xfId="24287" xr:uid="{00000000-0005-0000-0000-0000DF5E0000}"/>
    <cellStyle name="Normal 291 7" xfId="24288" xr:uid="{00000000-0005-0000-0000-0000E05E0000}"/>
    <cellStyle name="Normal 292" xfId="24289" xr:uid="{00000000-0005-0000-0000-0000E15E0000}"/>
    <cellStyle name="Normal 292 2" xfId="24290" xr:uid="{00000000-0005-0000-0000-0000E25E0000}"/>
    <cellStyle name="Normal 292 2 2" xfId="24291" xr:uid="{00000000-0005-0000-0000-0000E35E0000}"/>
    <cellStyle name="Normal 292 2 2 2" xfId="24292" xr:uid="{00000000-0005-0000-0000-0000E45E0000}"/>
    <cellStyle name="Normal 292 2 3" xfId="24293" xr:uid="{00000000-0005-0000-0000-0000E55E0000}"/>
    <cellStyle name="Normal 292 2 3 2" xfId="24294" xr:uid="{00000000-0005-0000-0000-0000E65E0000}"/>
    <cellStyle name="Normal 292 2 3 2 2" xfId="24295" xr:uid="{00000000-0005-0000-0000-0000E75E0000}"/>
    <cellStyle name="Normal 292 2 3 3" xfId="24296" xr:uid="{00000000-0005-0000-0000-0000E85E0000}"/>
    <cellStyle name="Normal 292 2 4" xfId="24297" xr:uid="{00000000-0005-0000-0000-0000E95E0000}"/>
    <cellStyle name="Normal 292 2 4 2" xfId="24298" xr:uid="{00000000-0005-0000-0000-0000EA5E0000}"/>
    <cellStyle name="Normal 292 2 4 2 2" xfId="24299" xr:uid="{00000000-0005-0000-0000-0000EB5E0000}"/>
    <cellStyle name="Normal 292 2 4 3" xfId="24300" xr:uid="{00000000-0005-0000-0000-0000EC5E0000}"/>
    <cellStyle name="Normal 292 2 5" xfId="24301" xr:uid="{00000000-0005-0000-0000-0000ED5E0000}"/>
    <cellStyle name="Normal 292 3" xfId="24302" xr:uid="{00000000-0005-0000-0000-0000EE5E0000}"/>
    <cellStyle name="Normal 292 3 2" xfId="24303" xr:uid="{00000000-0005-0000-0000-0000EF5E0000}"/>
    <cellStyle name="Normal 292 3 2 2" xfId="24304" xr:uid="{00000000-0005-0000-0000-0000F05E0000}"/>
    <cellStyle name="Normal 292 3 2 2 2" xfId="24305" xr:uid="{00000000-0005-0000-0000-0000F15E0000}"/>
    <cellStyle name="Normal 292 3 2 3" xfId="24306" xr:uid="{00000000-0005-0000-0000-0000F25E0000}"/>
    <cellStyle name="Normal 292 3 2 3 2" xfId="24307" xr:uid="{00000000-0005-0000-0000-0000F35E0000}"/>
    <cellStyle name="Normal 292 3 2 3 2 2" xfId="24308" xr:uid="{00000000-0005-0000-0000-0000F45E0000}"/>
    <cellStyle name="Normal 292 3 2 3 3" xfId="24309" xr:uid="{00000000-0005-0000-0000-0000F55E0000}"/>
    <cellStyle name="Normal 292 3 2 4" xfId="24310" xr:uid="{00000000-0005-0000-0000-0000F65E0000}"/>
    <cellStyle name="Normal 292 3 3" xfId="24311" xr:uid="{00000000-0005-0000-0000-0000F75E0000}"/>
    <cellStyle name="Normal 292 3 3 2" xfId="24312" xr:uid="{00000000-0005-0000-0000-0000F85E0000}"/>
    <cellStyle name="Normal 292 3 3 2 2" xfId="24313" xr:uid="{00000000-0005-0000-0000-0000F95E0000}"/>
    <cellStyle name="Normal 292 3 3 3" xfId="24314" xr:uid="{00000000-0005-0000-0000-0000FA5E0000}"/>
    <cellStyle name="Normal 292 3 4" xfId="24315" xr:uid="{00000000-0005-0000-0000-0000FB5E0000}"/>
    <cellStyle name="Normal 292 3 4 2" xfId="24316" xr:uid="{00000000-0005-0000-0000-0000FC5E0000}"/>
    <cellStyle name="Normal 292 3 4 2 2" xfId="24317" xr:uid="{00000000-0005-0000-0000-0000FD5E0000}"/>
    <cellStyle name="Normal 292 3 4 3" xfId="24318" xr:uid="{00000000-0005-0000-0000-0000FE5E0000}"/>
    <cellStyle name="Normal 292 3 5" xfId="24319" xr:uid="{00000000-0005-0000-0000-0000FF5E0000}"/>
    <cellStyle name="Normal 292 3 5 2" xfId="24320" xr:uid="{00000000-0005-0000-0000-0000005F0000}"/>
    <cellStyle name="Normal 292 3 5 2 2" xfId="24321" xr:uid="{00000000-0005-0000-0000-0000015F0000}"/>
    <cellStyle name="Normal 292 3 5 3" xfId="24322" xr:uid="{00000000-0005-0000-0000-0000025F0000}"/>
    <cellStyle name="Normal 292 3 6" xfId="24323" xr:uid="{00000000-0005-0000-0000-0000035F0000}"/>
    <cellStyle name="Normal 292 4" xfId="24324" xr:uid="{00000000-0005-0000-0000-0000045F0000}"/>
    <cellStyle name="Normal 292 4 2" xfId="24325" xr:uid="{00000000-0005-0000-0000-0000055F0000}"/>
    <cellStyle name="Normal 292 4 2 2" xfId="24326" xr:uid="{00000000-0005-0000-0000-0000065F0000}"/>
    <cellStyle name="Normal 292 4 3" xfId="24327" xr:uid="{00000000-0005-0000-0000-0000075F0000}"/>
    <cellStyle name="Normal 292 5" xfId="24328" xr:uid="{00000000-0005-0000-0000-0000085F0000}"/>
    <cellStyle name="Normal 292 5 2" xfId="24329" xr:uid="{00000000-0005-0000-0000-0000095F0000}"/>
    <cellStyle name="Normal 292 5 2 2" xfId="24330" xr:uid="{00000000-0005-0000-0000-00000A5F0000}"/>
    <cellStyle name="Normal 292 5 3" xfId="24331" xr:uid="{00000000-0005-0000-0000-00000B5F0000}"/>
    <cellStyle name="Normal 292 6" xfId="24332" xr:uid="{00000000-0005-0000-0000-00000C5F0000}"/>
    <cellStyle name="Normal 292 6 2" xfId="24333" xr:uid="{00000000-0005-0000-0000-00000D5F0000}"/>
    <cellStyle name="Normal 292 6 2 2" xfId="24334" xr:uid="{00000000-0005-0000-0000-00000E5F0000}"/>
    <cellStyle name="Normal 292 6 3" xfId="24335" xr:uid="{00000000-0005-0000-0000-00000F5F0000}"/>
    <cellStyle name="Normal 292 7" xfId="24336" xr:uid="{00000000-0005-0000-0000-0000105F0000}"/>
    <cellStyle name="Normal 293" xfId="24337" xr:uid="{00000000-0005-0000-0000-0000115F0000}"/>
    <cellStyle name="Normal 293 2" xfId="24338" xr:uid="{00000000-0005-0000-0000-0000125F0000}"/>
    <cellStyle name="Normal 293 2 2" xfId="24339" xr:uid="{00000000-0005-0000-0000-0000135F0000}"/>
    <cellStyle name="Normal 293 2 2 2" xfId="24340" xr:uid="{00000000-0005-0000-0000-0000145F0000}"/>
    <cellStyle name="Normal 293 2 3" xfId="24341" xr:uid="{00000000-0005-0000-0000-0000155F0000}"/>
    <cellStyle name="Normal 293 2 3 2" xfId="24342" xr:uid="{00000000-0005-0000-0000-0000165F0000}"/>
    <cellStyle name="Normal 293 2 3 2 2" xfId="24343" xr:uid="{00000000-0005-0000-0000-0000175F0000}"/>
    <cellStyle name="Normal 293 2 3 3" xfId="24344" xr:uid="{00000000-0005-0000-0000-0000185F0000}"/>
    <cellStyle name="Normal 293 2 4" xfId="24345" xr:uid="{00000000-0005-0000-0000-0000195F0000}"/>
    <cellStyle name="Normal 293 2 4 2" xfId="24346" xr:uid="{00000000-0005-0000-0000-00001A5F0000}"/>
    <cellStyle name="Normal 293 2 4 2 2" xfId="24347" xr:uid="{00000000-0005-0000-0000-00001B5F0000}"/>
    <cellStyle name="Normal 293 2 4 3" xfId="24348" xr:uid="{00000000-0005-0000-0000-00001C5F0000}"/>
    <cellStyle name="Normal 293 2 5" xfId="24349" xr:uid="{00000000-0005-0000-0000-00001D5F0000}"/>
    <cellStyle name="Normal 293 3" xfId="24350" xr:uid="{00000000-0005-0000-0000-00001E5F0000}"/>
    <cellStyle name="Normal 293 3 2" xfId="24351" xr:uid="{00000000-0005-0000-0000-00001F5F0000}"/>
    <cellStyle name="Normal 293 3 2 2" xfId="24352" xr:uid="{00000000-0005-0000-0000-0000205F0000}"/>
    <cellStyle name="Normal 293 3 2 2 2" xfId="24353" xr:uid="{00000000-0005-0000-0000-0000215F0000}"/>
    <cellStyle name="Normal 293 3 2 3" xfId="24354" xr:uid="{00000000-0005-0000-0000-0000225F0000}"/>
    <cellStyle name="Normal 293 3 2 3 2" xfId="24355" xr:uid="{00000000-0005-0000-0000-0000235F0000}"/>
    <cellStyle name="Normal 293 3 2 3 2 2" xfId="24356" xr:uid="{00000000-0005-0000-0000-0000245F0000}"/>
    <cellStyle name="Normal 293 3 2 3 3" xfId="24357" xr:uid="{00000000-0005-0000-0000-0000255F0000}"/>
    <cellStyle name="Normal 293 3 2 4" xfId="24358" xr:uid="{00000000-0005-0000-0000-0000265F0000}"/>
    <cellStyle name="Normal 293 3 3" xfId="24359" xr:uid="{00000000-0005-0000-0000-0000275F0000}"/>
    <cellStyle name="Normal 293 3 3 2" xfId="24360" xr:uid="{00000000-0005-0000-0000-0000285F0000}"/>
    <cellStyle name="Normal 293 3 3 2 2" xfId="24361" xr:uid="{00000000-0005-0000-0000-0000295F0000}"/>
    <cellStyle name="Normal 293 3 3 3" xfId="24362" xr:uid="{00000000-0005-0000-0000-00002A5F0000}"/>
    <cellStyle name="Normal 293 3 4" xfId="24363" xr:uid="{00000000-0005-0000-0000-00002B5F0000}"/>
    <cellStyle name="Normal 293 3 4 2" xfId="24364" xr:uid="{00000000-0005-0000-0000-00002C5F0000}"/>
    <cellStyle name="Normal 293 3 4 2 2" xfId="24365" xr:uid="{00000000-0005-0000-0000-00002D5F0000}"/>
    <cellStyle name="Normal 293 3 4 3" xfId="24366" xr:uid="{00000000-0005-0000-0000-00002E5F0000}"/>
    <cellStyle name="Normal 293 3 5" xfId="24367" xr:uid="{00000000-0005-0000-0000-00002F5F0000}"/>
    <cellStyle name="Normal 293 3 5 2" xfId="24368" xr:uid="{00000000-0005-0000-0000-0000305F0000}"/>
    <cellStyle name="Normal 293 3 5 2 2" xfId="24369" xr:uid="{00000000-0005-0000-0000-0000315F0000}"/>
    <cellStyle name="Normal 293 3 5 3" xfId="24370" xr:uid="{00000000-0005-0000-0000-0000325F0000}"/>
    <cellStyle name="Normal 293 3 6" xfId="24371" xr:uid="{00000000-0005-0000-0000-0000335F0000}"/>
    <cellStyle name="Normal 293 4" xfId="24372" xr:uid="{00000000-0005-0000-0000-0000345F0000}"/>
    <cellStyle name="Normal 293 4 2" xfId="24373" xr:uid="{00000000-0005-0000-0000-0000355F0000}"/>
    <cellStyle name="Normal 293 4 2 2" xfId="24374" xr:uid="{00000000-0005-0000-0000-0000365F0000}"/>
    <cellStyle name="Normal 293 4 3" xfId="24375" xr:uid="{00000000-0005-0000-0000-0000375F0000}"/>
    <cellStyle name="Normal 293 5" xfId="24376" xr:uid="{00000000-0005-0000-0000-0000385F0000}"/>
    <cellStyle name="Normal 293 5 2" xfId="24377" xr:uid="{00000000-0005-0000-0000-0000395F0000}"/>
    <cellStyle name="Normal 293 5 2 2" xfId="24378" xr:uid="{00000000-0005-0000-0000-00003A5F0000}"/>
    <cellStyle name="Normal 293 5 3" xfId="24379" xr:uid="{00000000-0005-0000-0000-00003B5F0000}"/>
    <cellStyle name="Normal 293 6" xfId="24380" xr:uid="{00000000-0005-0000-0000-00003C5F0000}"/>
    <cellStyle name="Normal 293 6 2" xfId="24381" xr:uid="{00000000-0005-0000-0000-00003D5F0000}"/>
    <cellStyle name="Normal 293 6 2 2" xfId="24382" xr:uid="{00000000-0005-0000-0000-00003E5F0000}"/>
    <cellStyle name="Normal 293 6 3" xfId="24383" xr:uid="{00000000-0005-0000-0000-00003F5F0000}"/>
    <cellStyle name="Normal 293 7" xfId="24384" xr:uid="{00000000-0005-0000-0000-0000405F0000}"/>
    <cellStyle name="Normal 294" xfId="24385" xr:uid="{00000000-0005-0000-0000-0000415F0000}"/>
    <cellStyle name="Normal 294 2" xfId="24386" xr:uid="{00000000-0005-0000-0000-0000425F0000}"/>
    <cellStyle name="Normal 294 2 2" xfId="24387" xr:uid="{00000000-0005-0000-0000-0000435F0000}"/>
    <cellStyle name="Normal 294 2 2 2" xfId="24388" xr:uid="{00000000-0005-0000-0000-0000445F0000}"/>
    <cellStyle name="Normal 294 2 3" xfId="24389" xr:uid="{00000000-0005-0000-0000-0000455F0000}"/>
    <cellStyle name="Normal 294 2 3 2" xfId="24390" xr:uid="{00000000-0005-0000-0000-0000465F0000}"/>
    <cellStyle name="Normal 294 2 3 2 2" xfId="24391" xr:uid="{00000000-0005-0000-0000-0000475F0000}"/>
    <cellStyle name="Normal 294 2 3 3" xfId="24392" xr:uid="{00000000-0005-0000-0000-0000485F0000}"/>
    <cellStyle name="Normal 294 2 4" xfId="24393" xr:uid="{00000000-0005-0000-0000-0000495F0000}"/>
    <cellStyle name="Normal 294 2 4 2" xfId="24394" xr:uid="{00000000-0005-0000-0000-00004A5F0000}"/>
    <cellStyle name="Normal 294 2 4 2 2" xfId="24395" xr:uid="{00000000-0005-0000-0000-00004B5F0000}"/>
    <cellStyle name="Normal 294 2 4 3" xfId="24396" xr:uid="{00000000-0005-0000-0000-00004C5F0000}"/>
    <cellStyle name="Normal 294 2 5" xfId="24397" xr:uid="{00000000-0005-0000-0000-00004D5F0000}"/>
    <cellStyle name="Normal 294 3" xfId="24398" xr:uid="{00000000-0005-0000-0000-00004E5F0000}"/>
    <cellStyle name="Normal 294 3 2" xfId="24399" xr:uid="{00000000-0005-0000-0000-00004F5F0000}"/>
    <cellStyle name="Normal 294 3 2 2" xfId="24400" xr:uid="{00000000-0005-0000-0000-0000505F0000}"/>
    <cellStyle name="Normal 294 3 2 2 2" xfId="24401" xr:uid="{00000000-0005-0000-0000-0000515F0000}"/>
    <cellStyle name="Normal 294 3 2 3" xfId="24402" xr:uid="{00000000-0005-0000-0000-0000525F0000}"/>
    <cellStyle name="Normal 294 3 2 3 2" xfId="24403" xr:uid="{00000000-0005-0000-0000-0000535F0000}"/>
    <cellStyle name="Normal 294 3 2 3 2 2" xfId="24404" xr:uid="{00000000-0005-0000-0000-0000545F0000}"/>
    <cellStyle name="Normal 294 3 2 3 3" xfId="24405" xr:uid="{00000000-0005-0000-0000-0000555F0000}"/>
    <cellStyle name="Normal 294 3 2 4" xfId="24406" xr:uid="{00000000-0005-0000-0000-0000565F0000}"/>
    <cellStyle name="Normal 294 3 3" xfId="24407" xr:uid="{00000000-0005-0000-0000-0000575F0000}"/>
    <cellStyle name="Normal 294 3 3 2" xfId="24408" xr:uid="{00000000-0005-0000-0000-0000585F0000}"/>
    <cellStyle name="Normal 294 3 3 2 2" xfId="24409" xr:uid="{00000000-0005-0000-0000-0000595F0000}"/>
    <cellStyle name="Normal 294 3 3 3" xfId="24410" xr:uid="{00000000-0005-0000-0000-00005A5F0000}"/>
    <cellStyle name="Normal 294 3 4" xfId="24411" xr:uid="{00000000-0005-0000-0000-00005B5F0000}"/>
    <cellStyle name="Normal 294 3 4 2" xfId="24412" xr:uid="{00000000-0005-0000-0000-00005C5F0000}"/>
    <cellStyle name="Normal 294 3 4 2 2" xfId="24413" xr:uid="{00000000-0005-0000-0000-00005D5F0000}"/>
    <cellStyle name="Normal 294 3 4 3" xfId="24414" xr:uid="{00000000-0005-0000-0000-00005E5F0000}"/>
    <cellStyle name="Normal 294 3 5" xfId="24415" xr:uid="{00000000-0005-0000-0000-00005F5F0000}"/>
    <cellStyle name="Normal 294 3 5 2" xfId="24416" xr:uid="{00000000-0005-0000-0000-0000605F0000}"/>
    <cellStyle name="Normal 294 3 5 2 2" xfId="24417" xr:uid="{00000000-0005-0000-0000-0000615F0000}"/>
    <cellStyle name="Normal 294 3 5 3" xfId="24418" xr:uid="{00000000-0005-0000-0000-0000625F0000}"/>
    <cellStyle name="Normal 294 3 6" xfId="24419" xr:uid="{00000000-0005-0000-0000-0000635F0000}"/>
    <cellStyle name="Normal 294 4" xfId="24420" xr:uid="{00000000-0005-0000-0000-0000645F0000}"/>
    <cellStyle name="Normal 294 4 2" xfId="24421" xr:uid="{00000000-0005-0000-0000-0000655F0000}"/>
    <cellStyle name="Normal 294 4 2 2" xfId="24422" xr:uid="{00000000-0005-0000-0000-0000665F0000}"/>
    <cellStyle name="Normal 294 4 3" xfId="24423" xr:uid="{00000000-0005-0000-0000-0000675F0000}"/>
    <cellStyle name="Normal 294 5" xfId="24424" xr:uid="{00000000-0005-0000-0000-0000685F0000}"/>
    <cellStyle name="Normal 294 5 2" xfId="24425" xr:uid="{00000000-0005-0000-0000-0000695F0000}"/>
    <cellStyle name="Normal 294 5 2 2" xfId="24426" xr:uid="{00000000-0005-0000-0000-00006A5F0000}"/>
    <cellStyle name="Normal 294 5 3" xfId="24427" xr:uid="{00000000-0005-0000-0000-00006B5F0000}"/>
    <cellStyle name="Normal 294 6" xfId="24428" xr:uid="{00000000-0005-0000-0000-00006C5F0000}"/>
    <cellStyle name="Normal 294 6 2" xfId="24429" xr:uid="{00000000-0005-0000-0000-00006D5F0000}"/>
    <cellStyle name="Normal 294 6 2 2" xfId="24430" xr:uid="{00000000-0005-0000-0000-00006E5F0000}"/>
    <cellStyle name="Normal 294 6 3" xfId="24431" xr:uid="{00000000-0005-0000-0000-00006F5F0000}"/>
    <cellStyle name="Normal 294 7" xfId="24432" xr:uid="{00000000-0005-0000-0000-0000705F0000}"/>
    <cellStyle name="Normal 295" xfId="24433" xr:uid="{00000000-0005-0000-0000-0000715F0000}"/>
    <cellStyle name="Normal 295 2" xfId="24434" xr:uid="{00000000-0005-0000-0000-0000725F0000}"/>
    <cellStyle name="Normal 295 2 2" xfId="24435" xr:uid="{00000000-0005-0000-0000-0000735F0000}"/>
    <cellStyle name="Normal 295 2 2 2" xfId="24436" xr:uid="{00000000-0005-0000-0000-0000745F0000}"/>
    <cellStyle name="Normal 295 2 3" xfId="24437" xr:uid="{00000000-0005-0000-0000-0000755F0000}"/>
    <cellStyle name="Normal 295 2 3 2" xfId="24438" xr:uid="{00000000-0005-0000-0000-0000765F0000}"/>
    <cellStyle name="Normal 295 2 3 2 2" xfId="24439" xr:uid="{00000000-0005-0000-0000-0000775F0000}"/>
    <cellStyle name="Normal 295 2 3 3" xfId="24440" xr:uid="{00000000-0005-0000-0000-0000785F0000}"/>
    <cellStyle name="Normal 295 2 4" xfId="24441" xr:uid="{00000000-0005-0000-0000-0000795F0000}"/>
    <cellStyle name="Normal 295 2 4 2" xfId="24442" xr:uid="{00000000-0005-0000-0000-00007A5F0000}"/>
    <cellStyle name="Normal 295 2 4 2 2" xfId="24443" xr:uid="{00000000-0005-0000-0000-00007B5F0000}"/>
    <cellStyle name="Normal 295 2 4 3" xfId="24444" xr:uid="{00000000-0005-0000-0000-00007C5F0000}"/>
    <cellStyle name="Normal 295 2 5" xfId="24445" xr:uid="{00000000-0005-0000-0000-00007D5F0000}"/>
    <cellStyle name="Normal 295 3" xfId="24446" xr:uid="{00000000-0005-0000-0000-00007E5F0000}"/>
    <cellStyle name="Normal 295 3 2" xfId="24447" xr:uid="{00000000-0005-0000-0000-00007F5F0000}"/>
    <cellStyle name="Normal 295 3 2 2" xfId="24448" xr:uid="{00000000-0005-0000-0000-0000805F0000}"/>
    <cellStyle name="Normal 295 3 2 2 2" xfId="24449" xr:uid="{00000000-0005-0000-0000-0000815F0000}"/>
    <cellStyle name="Normal 295 3 2 3" xfId="24450" xr:uid="{00000000-0005-0000-0000-0000825F0000}"/>
    <cellStyle name="Normal 295 3 2 3 2" xfId="24451" xr:uid="{00000000-0005-0000-0000-0000835F0000}"/>
    <cellStyle name="Normal 295 3 2 3 2 2" xfId="24452" xr:uid="{00000000-0005-0000-0000-0000845F0000}"/>
    <cellStyle name="Normal 295 3 2 3 3" xfId="24453" xr:uid="{00000000-0005-0000-0000-0000855F0000}"/>
    <cellStyle name="Normal 295 3 2 4" xfId="24454" xr:uid="{00000000-0005-0000-0000-0000865F0000}"/>
    <cellStyle name="Normal 295 3 3" xfId="24455" xr:uid="{00000000-0005-0000-0000-0000875F0000}"/>
    <cellStyle name="Normal 295 3 3 2" xfId="24456" xr:uid="{00000000-0005-0000-0000-0000885F0000}"/>
    <cellStyle name="Normal 295 3 3 2 2" xfId="24457" xr:uid="{00000000-0005-0000-0000-0000895F0000}"/>
    <cellStyle name="Normal 295 3 3 3" xfId="24458" xr:uid="{00000000-0005-0000-0000-00008A5F0000}"/>
    <cellStyle name="Normal 295 3 4" xfId="24459" xr:uid="{00000000-0005-0000-0000-00008B5F0000}"/>
    <cellStyle name="Normal 295 3 4 2" xfId="24460" xr:uid="{00000000-0005-0000-0000-00008C5F0000}"/>
    <cellStyle name="Normal 295 3 4 2 2" xfId="24461" xr:uid="{00000000-0005-0000-0000-00008D5F0000}"/>
    <cellStyle name="Normal 295 3 4 3" xfId="24462" xr:uid="{00000000-0005-0000-0000-00008E5F0000}"/>
    <cellStyle name="Normal 295 3 5" xfId="24463" xr:uid="{00000000-0005-0000-0000-00008F5F0000}"/>
    <cellStyle name="Normal 295 3 5 2" xfId="24464" xr:uid="{00000000-0005-0000-0000-0000905F0000}"/>
    <cellStyle name="Normal 295 3 5 2 2" xfId="24465" xr:uid="{00000000-0005-0000-0000-0000915F0000}"/>
    <cellStyle name="Normal 295 3 5 3" xfId="24466" xr:uid="{00000000-0005-0000-0000-0000925F0000}"/>
    <cellStyle name="Normal 295 3 6" xfId="24467" xr:uid="{00000000-0005-0000-0000-0000935F0000}"/>
    <cellStyle name="Normal 295 4" xfId="24468" xr:uid="{00000000-0005-0000-0000-0000945F0000}"/>
    <cellStyle name="Normal 295 4 2" xfId="24469" xr:uid="{00000000-0005-0000-0000-0000955F0000}"/>
    <cellStyle name="Normal 295 4 2 2" xfId="24470" xr:uid="{00000000-0005-0000-0000-0000965F0000}"/>
    <cellStyle name="Normal 295 4 3" xfId="24471" xr:uid="{00000000-0005-0000-0000-0000975F0000}"/>
    <cellStyle name="Normal 295 5" xfId="24472" xr:uid="{00000000-0005-0000-0000-0000985F0000}"/>
    <cellStyle name="Normal 295 5 2" xfId="24473" xr:uid="{00000000-0005-0000-0000-0000995F0000}"/>
    <cellStyle name="Normal 295 5 2 2" xfId="24474" xr:uid="{00000000-0005-0000-0000-00009A5F0000}"/>
    <cellStyle name="Normal 295 5 3" xfId="24475" xr:uid="{00000000-0005-0000-0000-00009B5F0000}"/>
    <cellStyle name="Normal 295 6" xfId="24476" xr:uid="{00000000-0005-0000-0000-00009C5F0000}"/>
    <cellStyle name="Normal 295 6 2" xfId="24477" xr:uid="{00000000-0005-0000-0000-00009D5F0000}"/>
    <cellStyle name="Normal 295 6 2 2" xfId="24478" xr:uid="{00000000-0005-0000-0000-00009E5F0000}"/>
    <cellStyle name="Normal 295 6 3" xfId="24479" xr:uid="{00000000-0005-0000-0000-00009F5F0000}"/>
    <cellStyle name="Normal 295 7" xfId="24480" xr:uid="{00000000-0005-0000-0000-0000A05F0000}"/>
    <cellStyle name="Normal 296" xfId="24481" xr:uid="{00000000-0005-0000-0000-0000A15F0000}"/>
    <cellStyle name="Normal 296 2" xfId="24482" xr:uid="{00000000-0005-0000-0000-0000A25F0000}"/>
    <cellStyle name="Normal 296 2 2" xfId="24483" xr:uid="{00000000-0005-0000-0000-0000A35F0000}"/>
    <cellStyle name="Normal 296 2 2 2" xfId="24484" xr:uid="{00000000-0005-0000-0000-0000A45F0000}"/>
    <cellStyle name="Normal 296 2 3" xfId="24485" xr:uid="{00000000-0005-0000-0000-0000A55F0000}"/>
    <cellStyle name="Normal 296 2 3 2" xfId="24486" xr:uid="{00000000-0005-0000-0000-0000A65F0000}"/>
    <cellStyle name="Normal 296 2 3 2 2" xfId="24487" xr:uid="{00000000-0005-0000-0000-0000A75F0000}"/>
    <cellStyle name="Normal 296 2 3 3" xfId="24488" xr:uid="{00000000-0005-0000-0000-0000A85F0000}"/>
    <cellStyle name="Normal 296 2 4" xfId="24489" xr:uid="{00000000-0005-0000-0000-0000A95F0000}"/>
    <cellStyle name="Normal 296 2 4 2" xfId="24490" xr:uid="{00000000-0005-0000-0000-0000AA5F0000}"/>
    <cellStyle name="Normal 296 2 4 2 2" xfId="24491" xr:uid="{00000000-0005-0000-0000-0000AB5F0000}"/>
    <cellStyle name="Normal 296 2 4 3" xfId="24492" xr:uid="{00000000-0005-0000-0000-0000AC5F0000}"/>
    <cellStyle name="Normal 296 2 5" xfId="24493" xr:uid="{00000000-0005-0000-0000-0000AD5F0000}"/>
    <cellStyle name="Normal 296 3" xfId="24494" xr:uid="{00000000-0005-0000-0000-0000AE5F0000}"/>
    <cellStyle name="Normal 296 3 2" xfId="24495" xr:uid="{00000000-0005-0000-0000-0000AF5F0000}"/>
    <cellStyle name="Normal 296 3 2 2" xfId="24496" xr:uid="{00000000-0005-0000-0000-0000B05F0000}"/>
    <cellStyle name="Normal 296 3 2 2 2" xfId="24497" xr:uid="{00000000-0005-0000-0000-0000B15F0000}"/>
    <cellStyle name="Normal 296 3 2 3" xfId="24498" xr:uid="{00000000-0005-0000-0000-0000B25F0000}"/>
    <cellStyle name="Normal 296 3 2 3 2" xfId="24499" xr:uid="{00000000-0005-0000-0000-0000B35F0000}"/>
    <cellStyle name="Normal 296 3 2 3 2 2" xfId="24500" xr:uid="{00000000-0005-0000-0000-0000B45F0000}"/>
    <cellStyle name="Normal 296 3 2 3 3" xfId="24501" xr:uid="{00000000-0005-0000-0000-0000B55F0000}"/>
    <cellStyle name="Normal 296 3 2 4" xfId="24502" xr:uid="{00000000-0005-0000-0000-0000B65F0000}"/>
    <cellStyle name="Normal 296 3 3" xfId="24503" xr:uid="{00000000-0005-0000-0000-0000B75F0000}"/>
    <cellStyle name="Normal 296 3 3 2" xfId="24504" xr:uid="{00000000-0005-0000-0000-0000B85F0000}"/>
    <cellStyle name="Normal 296 3 3 2 2" xfId="24505" xr:uid="{00000000-0005-0000-0000-0000B95F0000}"/>
    <cellStyle name="Normal 296 3 3 3" xfId="24506" xr:uid="{00000000-0005-0000-0000-0000BA5F0000}"/>
    <cellStyle name="Normal 296 3 4" xfId="24507" xr:uid="{00000000-0005-0000-0000-0000BB5F0000}"/>
    <cellStyle name="Normal 296 3 4 2" xfId="24508" xr:uid="{00000000-0005-0000-0000-0000BC5F0000}"/>
    <cellStyle name="Normal 296 3 4 2 2" xfId="24509" xr:uid="{00000000-0005-0000-0000-0000BD5F0000}"/>
    <cellStyle name="Normal 296 3 4 3" xfId="24510" xr:uid="{00000000-0005-0000-0000-0000BE5F0000}"/>
    <cellStyle name="Normal 296 3 5" xfId="24511" xr:uid="{00000000-0005-0000-0000-0000BF5F0000}"/>
    <cellStyle name="Normal 296 3 5 2" xfId="24512" xr:uid="{00000000-0005-0000-0000-0000C05F0000}"/>
    <cellStyle name="Normal 296 3 5 2 2" xfId="24513" xr:uid="{00000000-0005-0000-0000-0000C15F0000}"/>
    <cellStyle name="Normal 296 3 5 3" xfId="24514" xr:uid="{00000000-0005-0000-0000-0000C25F0000}"/>
    <cellStyle name="Normal 296 3 6" xfId="24515" xr:uid="{00000000-0005-0000-0000-0000C35F0000}"/>
    <cellStyle name="Normal 296 4" xfId="24516" xr:uid="{00000000-0005-0000-0000-0000C45F0000}"/>
    <cellStyle name="Normal 296 4 2" xfId="24517" xr:uid="{00000000-0005-0000-0000-0000C55F0000}"/>
    <cellStyle name="Normal 296 4 2 2" xfId="24518" xr:uid="{00000000-0005-0000-0000-0000C65F0000}"/>
    <cellStyle name="Normal 296 4 3" xfId="24519" xr:uid="{00000000-0005-0000-0000-0000C75F0000}"/>
    <cellStyle name="Normal 296 5" xfId="24520" xr:uid="{00000000-0005-0000-0000-0000C85F0000}"/>
    <cellStyle name="Normal 296 5 2" xfId="24521" xr:uid="{00000000-0005-0000-0000-0000C95F0000}"/>
    <cellStyle name="Normal 296 5 2 2" xfId="24522" xr:uid="{00000000-0005-0000-0000-0000CA5F0000}"/>
    <cellStyle name="Normal 296 5 3" xfId="24523" xr:uid="{00000000-0005-0000-0000-0000CB5F0000}"/>
    <cellStyle name="Normal 296 6" xfId="24524" xr:uid="{00000000-0005-0000-0000-0000CC5F0000}"/>
    <cellStyle name="Normal 296 6 2" xfId="24525" xr:uid="{00000000-0005-0000-0000-0000CD5F0000}"/>
    <cellStyle name="Normal 296 6 2 2" xfId="24526" xr:uid="{00000000-0005-0000-0000-0000CE5F0000}"/>
    <cellStyle name="Normal 296 6 3" xfId="24527" xr:uid="{00000000-0005-0000-0000-0000CF5F0000}"/>
    <cellStyle name="Normal 296 7" xfId="24528" xr:uid="{00000000-0005-0000-0000-0000D05F0000}"/>
    <cellStyle name="Normal 297" xfId="24529" xr:uid="{00000000-0005-0000-0000-0000D15F0000}"/>
    <cellStyle name="Normal 297 2" xfId="24530" xr:uid="{00000000-0005-0000-0000-0000D25F0000}"/>
    <cellStyle name="Normal 297 2 2" xfId="24531" xr:uid="{00000000-0005-0000-0000-0000D35F0000}"/>
    <cellStyle name="Normal 297 2 2 2" xfId="24532" xr:uid="{00000000-0005-0000-0000-0000D45F0000}"/>
    <cellStyle name="Normal 297 2 3" xfId="24533" xr:uid="{00000000-0005-0000-0000-0000D55F0000}"/>
    <cellStyle name="Normal 297 2 3 2" xfId="24534" xr:uid="{00000000-0005-0000-0000-0000D65F0000}"/>
    <cellStyle name="Normal 297 2 3 2 2" xfId="24535" xr:uid="{00000000-0005-0000-0000-0000D75F0000}"/>
    <cellStyle name="Normal 297 2 3 3" xfId="24536" xr:uid="{00000000-0005-0000-0000-0000D85F0000}"/>
    <cellStyle name="Normal 297 2 4" xfId="24537" xr:uid="{00000000-0005-0000-0000-0000D95F0000}"/>
    <cellStyle name="Normal 297 2 4 2" xfId="24538" xr:uid="{00000000-0005-0000-0000-0000DA5F0000}"/>
    <cellStyle name="Normal 297 2 4 2 2" xfId="24539" xr:uid="{00000000-0005-0000-0000-0000DB5F0000}"/>
    <cellStyle name="Normal 297 2 4 3" xfId="24540" xr:uid="{00000000-0005-0000-0000-0000DC5F0000}"/>
    <cellStyle name="Normal 297 2 5" xfId="24541" xr:uid="{00000000-0005-0000-0000-0000DD5F0000}"/>
    <cellStyle name="Normal 297 3" xfId="24542" xr:uid="{00000000-0005-0000-0000-0000DE5F0000}"/>
    <cellStyle name="Normal 297 3 2" xfId="24543" xr:uid="{00000000-0005-0000-0000-0000DF5F0000}"/>
    <cellStyle name="Normal 297 3 2 2" xfId="24544" xr:uid="{00000000-0005-0000-0000-0000E05F0000}"/>
    <cellStyle name="Normal 297 3 2 2 2" xfId="24545" xr:uid="{00000000-0005-0000-0000-0000E15F0000}"/>
    <cellStyle name="Normal 297 3 2 3" xfId="24546" xr:uid="{00000000-0005-0000-0000-0000E25F0000}"/>
    <cellStyle name="Normal 297 3 2 3 2" xfId="24547" xr:uid="{00000000-0005-0000-0000-0000E35F0000}"/>
    <cellStyle name="Normal 297 3 2 3 2 2" xfId="24548" xr:uid="{00000000-0005-0000-0000-0000E45F0000}"/>
    <cellStyle name="Normal 297 3 2 3 3" xfId="24549" xr:uid="{00000000-0005-0000-0000-0000E55F0000}"/>
    <cellStyle name="Normal 297 3 2 4" xfId="24550" xr:uid="{00000000-0005-0000-0000-0000E65F0000}"/>
    <cellStyle name="Normal 297 3 3" xfId="24551" xr:uid="{00000000-0005-0000-0000-0000E75F0000}"/>
    <cellStyle name="Normal 297 3 3 2" xfId="24552" xr:uid="{00000000-0005-0000-0000-0000E85F0000}"/>
    <cellStyle name="Normal 297 3 3 2 2" xfId="24553" xr:uid="{00000000-0005-0000-0000-0000E95F0000}"/>
    <cellStyle name="Normal 297 3 3 3" xfId="24554" xr:uid="{00000000-0005-0000-0000-0000EA5F0000}"/>
    <cellStyle name="Normal 297 3 4" xfId="24555" xr:uid="{00000000-0005-0000-0000-0000EB5F0000}"/>
    <cellStyle name="Normal 297 3 4 2" xfId="24556" xr:uid="{00000000-0005-0000-0000-0000EC5F0000}"/>
    <cellStyle name="Normal 297 3 4 2 2" xfId="24557" xr:uid="{00000000-0005-0000-0000-0000ED5F0000}"/>
    <cellStyle name="Normal 297 3 4 3" xfId="24558" xr:uid="{00000000-0005-0000-0000-0000EE5F0000}"/>
    <cellStyle name="Normal 297 3 5" xfId="24559" xr:uid="{00000000-0005-0000-0000-0000EF5F0000}"/>
    <cellStyle name="Normal 297 3 5 2" xfId="24560" xr:uid="{00000000-0005-0000-0000-0000F05F0000}"/>
    <cellStyle name="Normal 297 3 5 2 2" xfId="24561" xr:uid="{00000000-0005-0000-0000-0000F15F0000}"/>
    <cellStyle name="Normal 297 3 5 3" xfId="24562" xr:uid="{00000000-0005-0000-0000-0000F25F0000}"/>
    <cellStyle name="Normal 297 3 6" xfId="24563" xr:uid="{00000000-0005-0000-0000-0000F35F0000}"/>
    <cellStyle name="Normal 297 4" xfId="24564" xr:uid="{00000000-0005-0000-0000-0000F45F0000}"/>
    <cellStyle name="Normal 297 4 2" xfId="24565" xr:uid="{00000000-0005-0000-0000-0000F55F0000}"/>
    <cellStyle name="Normal 297 4 2 2" xfId="24566" xr:uid="{00000000-0005-0000-0000-0000F65F0000}"/>
    <cellStyle name="Normal 297 4 3" xfId="24567" xr:uid="{00000000-0005-0000-0000-0000F75F0000}"/>
    <cellStyle name="Normal 297 5" xfId="24568" xr:uid="{00000000-0005-0000-0000-0000F85F0000}"/>
    <cellStyle name="Normal 297 5 2" xfId="24569" xr:uid="{00000000-0005-0000-0000-0000F95F0000}"/>
    <cellStyle name="Normal 297 5 2 2" xfId="24570" xr:uid="{00000000-0005-0000-0000-0000FA5F0000}"/>
    <cellStyle name="Normal 297 5 3" xfId="24571" xr:uid="{00000000-0005-0000-0000-0000FB5F0000}"/>
    <cellStyle name="Normal 297 6" xfId="24572" xr:uid="{00000000-0005-0000-0000-0000FC5F0000}"/>
    <cellStyle name="Normal 297 6 2" xfId="24573" xr:uid="{00000000-0005-0000-0000-0000FD5F0000}"/>
    <cellStyle name="Normal 297 6 2 2" xfId="24574" xr:uid="{00000000-0005-0000-0000-0000FE5F0000}"/>
    <cellStyle name="Normal 297 6 3" xfId="24575" xr:uid="{00000000-0005-0000-0000-0000FF5F0000}"/>
    <cellStyle name="Normal 297 7" xfId="24576" xr:uid="{00000000-0005-0000-0000-000000600000}"/>
    <cellStyle name="Normal 298" xfId="24577" xr:uid="{00000000-0005-0000-0000-000001600000}"/>
    <cellStyle name="Normal 298 2" xfId="24578" xr:uid="{00000000-0005-0000-0000-000002600000}"/>
    <cellStyle name="Normal 298 2 2" xfId="24579" xr:uid="{00000000-0005-0000-0000-000003600000}"/>
    <cellStyle name="Normal 298 2 2 2" xfId="24580" xr:uid="{00000000-0005-0000-0000-000004600000}"/>
    <cellStyle name="Normal 298 2 3" xfId="24581" xr:uid="{00000000-0005-0000-0000-000005600000}"/>
    <cellStyle name="Normal 298 2 3 2" xfId="24582" xr:uid="{00000000-0005-0000-0000-000006600000}"/>
    <cellStyle name="Normal 298 2 3 2 2" xfId="24583" xr:uid="{00000000-0005-0000-0000-000007600000}"/>
    <cellStyle name="Normal 298 2 3 3" xfId="24584" xr:uid="{00000000-0005-0000-0000-000008600000}"/>
    <cellStyle name="Normal 298 2 4" xfId="24585" xr:uid="{00000000-0005-0000-0000-000009600000}"/>
    <cellStyle name="Normal 298 2 4 2" xfId="24586" xr:uid="{00000000-0005-0000-0000-00000A600000}"/>
    <cellStyle name="Normal 298 2 4 2 2" xfId="24587" xr:uid="{00000000-0005-0000-0000-00000B600000}"/>
    <cellStyle name="Normal 298 2 4 3" xfId="24588" xr:uid="{00000000-0005-0000-0000-00000C600000}"/>
    <cellStyle name="Normal 298 2 5" xfId="24589" xr:uid="{00000000-0005-0000-0000-00000D600000}"/>
    <cellStyle name="Normal 298 3" xfId="24590" xr:uid="{00000000-0005-0000-0000-00000E600000}"/>
    <cellStyle name="Normal 298 3 2" xfId="24591" xr:uid="{00000000-0005-0000-0000-00000F600000}"/>
    <cellStyle name="Normal 298 3 2 2" xfId="24592" xr:uid="{00000000-0005-0000-0000-000010600000}"/>
    <cellStyle name="Normal 298 3 2 2 2" xfId="24593" xr:uid="{00000000-0005-0000-0000-000011600000}"/>
    <cellStyle name="Normal 298 3 2 3" xfId="24594" xr:uid="{00000000-0005-0000-0000-000012600000}"/>
    <cellStyle name="Normal 298 3 2 3 2" xfId="24595" xr:uid="{00000000-0005-0000-0000-000013600000}"/>
    <cellStyle name="Normal 298 3 2 3 2 2" xfId="24596" xr:uid="{00000000-0005-0000-0000-000014600000}"/>
    <cellStyle name="Normal 298 3 2 3 3" xfId="24597" xr:uid="{00000000-0005-0000-0000-000015600000}"/>
    <cellStyle name="Normal 298 3 2 4" xfId="24598" xr:uid="{00000000-0005-0000-0000-000016600000}"/>
    <cellStyle name="Normal 298 3 3" xfId="24599" xr:uid="{00000000-0005-0000-0000-000017600000}"/>
    <cellStyle name="Normal 298 3 3 2" xfId="24600" xr:uid="{00000000-0005-0000-0000-000018600000}"/>
    <cellStyle name="Normal 298 3 3 2 2" xfId="24601" xr:uid="{00000000-0005-0000-0000-000019600000}"/>
    <cellStyle name="Normal 298 3 3 3" xfId="24602" xr:uid="{00000000-0005-0000-0000-00001A600000}"/>
    <cellStyle name="Normal 298 3 4" xfId="24603" xr:uid="{00000000-0005-0000-0000-00001B600000}"/>
    <cellStyle name="Normal 298 3 4 2" xfId="24604" xr:uid="{00000000-0005-0000-0000-00001C600000}"/>
    <cellStyle name="Normal 298 3 4 2 2" xfId="24605" xr:uid="{00000000-0005-0000-0000-00001D600000}"/>
    <cellStyle name="Normal 298 3 4 3" xfId="24606" xr:uid="{00000000-0005-0000-0000-00001E600000}"/>
    <cellStyle name="Normal 298 3 5" xfId="24607" xr:uid="{00000000-0005-0000-0000-00001F600000}"/>
    <cellStyle name="Normal 298 3 5 2" xfId="24608" xr:uid="{00000000-0005-0000-0000-000020600000}"/>
    <cellStyle name="Normal 298 3 5 2 2" xfId="24609" xr:uid="{00000000-0005-0000-0000-000021600000}"/>
    <cellStyle name="Normal 298 3 5 3" xfId="24610" xr:uid="{00000000-0005-0000-0000-000022600000}"/>
    <cellStyle name="Normal 298 3 6" xfId="24611" xr:uid="{00000000-0005-0000-0000-000023600000}"/>
    <cellStyle name="Normal 298 4" xfId="24612" xr:uid="{00000000-0005-0000-0000-000024600000}"/>
    <cellStyle name="Normal 298 4 2" xfId="24613" xr:uid="{00000000-0005-0000-0000-000025600000}"/>
    <cellStyle name="Normal 298 4 2 2" xfId="24614" xr:uid="{00000000-0005-0000-0000-000026600000}"/>
    <cellStyle name="Normal 298 4 3" xfId="24615" xr:uid="{00000000-0005-0000-0000-000027600000}"/>
    <cellStyle name="Normal 298 5" xfId="24616" xr:uid="{00000000-0005-0000-0000-000028600000}"/>
    <cellStyle name="Normal 298 5 2" xfId="24617" xr:uid="{00000000-0005-0000-0000-000029600000}"/>
    <cellStyle name="Normal 298 5 2 2" xfId="24618" xr:uid="{00000000-0005-0000-0000-00002A600000}"/>
    <cellStyle name="Normal 298 5 3" xfId="24619" xr:uid="{00000000-0005-0000-0000-00002B600000}"/>
    <cellStyle name="Normal 298 6" xfId="24620" xr:uid="{00000000-0005-0000-0000-00002C600000}"/>
    <cellStyle name="Normal 298 6 2" xfId="24621" xr:uid="{00000000-0005-0000-0000-00002D600000}"/>
    <cellStyle name="Normal 298 6 2 2" xfId="24622" xr:uid="{00000000-0005-0000-0000-00002E600000}"/>
    <cellStyle name="Normal 298 6 3" xfId="24623" xr:uid="{00000000-0005-0000-0000-00002F600000}"/>
    <cellStyle name="Normal 298 7" xfId="24624" xr:uid="{00000000-0005-0000-0000-000030600000}"/>
    <cellStyle name="Normal 299" xfId="24625" xr:uid="{00000000-0005-0000-0000-000031600000}"/>
    <cellStyle name="Normal 299 2" xfId="24626" xr:uid="{00000000-0005-0000-0000-000032600000}"/>
    <cellStyle name="Normal 299 2 2" xfId="24627" xr:uid="{00000000-0005-0000-0000-000033600000}"/>
    <cellStyle name="Normal 299 2 2 2" xfId="24628" xr:uid="{00000000-0005-0000-0000-000034600000}"/>
    <cellStyle name="Normal 299 2 3" xfId="24629" xr:uid="{00000000-0005-0000-0000-000035600000}"/>
    <cellStyle name="Normal 299 2 3 2" xfId="24630" xr:uid="{00000000-0005-0000-0000-000036600000}"/>
    <cellStyle name="Normal 299 2 3 2 2" xfId="24631" xr:uid="{00000000-0005-0000-0000-000037600000}"/>
    <cellStyle name="Normal 299 2 3 3" xfId="24632" xr:uid="{00000000-0005-0000-0000-000038600000}"/>
    <cellStyle name="Normal 299 2 4" xfId="24633" xr:uid="{00000000-0005-0000-0000-000039600000}"/>
    <cellStyle name="Normal 299 2 4 2" xfId="24634" xr:uid="{00000000-0005-0000-0000-00003A600000}"/>
    <cellStyle name="Normal 299 2 4 2 2" xfId="24635" xr:uid="{00000000-0005-0000-0000-00003B600000}"/>
    <cellStyle name="Normal 299 2 4 3" xfId="24636" xr:uid="{00000000-0005-0000-0000-00003C600000}"/>
    <cellStyle name="Normal 299 2 5" xfId="24637" xr:uid="{00000000-0005-0000-0000-00003D600000}"/>
    <cellStyle name="Normal 299 3" xfId="24638" xr:uid="{00000000-0005-0000-0000-00003E600000}"/>
    <cellStyle name="Normal 299 3 2" xfId="24639" xr:uid="{00000000-0005-0000-0000-00003F600000}"/>
    <cellStyle name="Normal 299 3 2 2" xfId="24640" xr:uid="{00000000-0005-0000-0000-000040600000}"/>
    <cellStyle name="Normal 299 3 2 2 2" xfId="24641" xr:uid="{00000000-0005-0000-0000-000041600000}"/>
    <cellStyle name="Normal 299 3 2 3" xfId="24642" xr:uid="{00000000-0005-0000-0000-000042600000}"/>
    <cellStyle name="Normal 299 3 2 3 2" xfId="24643" xr:uid="{00000000-0005-0000-0000-000043600000}"/>
    <cellStyle name="Normal 299 3 2 3 2 2" xfId="24644" xr:uid="{00000000-0005-0000-0000-000044600000}"/>
    <cellStyle name="Normal 299 3 2 3 3" xfId="24645" xr:uid="{00000000-0005-0000-0000-000045600000}"/>
    <cellStyle name="Normal 299 3 2 4" xfId="24646" xr:uid="{00000000-0005-0000-0000-000046600000}"/>
    <cellStyle name="Normal 299 3 3" xfId="24647" xr:uid="{00000000-0005-0000-0000-000047600000}"/>
    <cellStyle name="Normal 299 3 3 2" xfId="24648" xr:uid="{00000000-0005-0000-0000-000048600000}"/>
    <cellStyle name="Normal 299 3 3 2 2" xfId="24649" xr:uid="{00000000-0005-0000-0000-000049600000}"/>
    <cellStyle name="Normal 299 3 3 3" xfId="24650" xr:uid="{00000000-0005-0000-0000-00004A600000}"/>
    <cellStyle name="Normal 299 3 4" xfId="24651" xr:uid="{00000000-0005-0000-0000-00004B600000}"/>
    <cellStyle name="Normal 299 3 4 2" xfId="24652" xr:uid="{00000000-0005-0000-0000-00004C600000}"/>
    <cellStyle name="Normal 299 3 4 2 2" xfId="24653" xr:uid="{00000000-0005-0000-0000-00004D600000}"/>
    <cellStyle name="Normal 299 3 4 3" xfId="24654" xr:uid="{00000000-0005-0000-0000-00004E600000}"/>
    <cellStyle name="Normal 299 3 5" xfId="24655" xr:uid="{00000000-0005-0000-0000-00004F600000}"/>
    <cellStyle name="Normal 299 3 5 2" xfId="24656" xr:uid="{00000000-0005-0000-0000-000050600000}"/>
    <cellStyle name="Normal 299 3 5 2 2" xfId="24657" xr:uid="{00000000-0005-0000-0000-000051600000}"/>
    <cellStyle name="Normal 299 3 5 3" xfId="24658" xr:uid="{00000000-0005-0000-0000-000052600000}"/>
    <cellStyle name="Normal 299 3 6" xfId="24659" xr:uid="{00000000-0005-0000-0000-000053600000}"/>
    <cellStyle name="Normal 299 4" xfId="24660" xr:uid="{00000000-0005-0000-0000-000054600000}"/>
    <cellStyle name="Normal 299 4 2" xfId="24661" xr:uid="{00000000-0005-0000-0000-000055600000}"/>
    <cellStyle name="Normal 299 4 2 2" xfId="24662" xr:uid="{00000000-0005-0000-0000-000056600000}"/>
    <cellStyle name="Normal 299 4 3" xfId="24663" xr:uid="{00000000-0005-0000-0000-000057600000}"/>
    <cellStyle name="Normal 299 5" xfId="24664" xr:uid="{00000000-0005-0000-0000-000058600000}"/>
    <cellStyle name="Normal 299 5 2" xfId="24665" xr:uid="{00000000-0005-0000-0000-000059600000}"/>
    <cellStyle name="Normal 299 5 2 2" xfId="24666" xr:uid="{00000000-0005-0000-0000-00005A600000}"/>
    <cellStyle name="Normal 299 5 3" xfId="24667" xr:uid="{00000000-0005-0000-0000-00005B600000}"/>
    <cellStyle name="Normal 299 6" xfId="24668" xr:uid="{00000000-0005-0000-0000-00005C600000}"/>
    <cellStyle name="Normal 299 6 2" xfId="24669" xr:uid="{00000000-0005-0000-0000-00005D600000}"/>
    <cellStyle name="Normal 299 6 2 2" xfId="24670" xr:uid="{00000000-0005-0000-0000-00005E600000}"/>
    <cellStyle name="Normal 299 6 3" xfId="24671" xr:uid="{00000000-0005-0000-0000-00005F600000}"/>
    <cellStyle name="Normal 299 7" xfId="24672" xr:uid="{00000000-0005-0000-0000-000060600000}"/>
    <cellStyle name="Normal 3" xfId="24673" xr:uid="{00000000-0005-0000-0000-000061600000}"/>
    <cellStyle name="Normal 3 10" xfId="24674" xr:uid="{00000000-0005-0000-0000-000062600000}"/>
    <cellStyle name="Normal 3 11" xfId="24675" xr:uid="{00000000-0005-0000-0000-000063600000}"/>
    <cellStyle name="Normal 3 12" xfId="24676" xr:uid="{00000000-0005-0000-0000-000064600000}"/>
    <cellStyle name="Normal 3 2" xfId="24677" xr:uid="{00000000-0005-0000-0000-000065600000}"/>
    <cellStyle name="Normal 3 2 2" xfId="24678" xr:uid="{00000000-0005-0000-0000-000066600000}"/>
    <cellStyle name="Normal 3 2 2 2" xfId="24679" xr:uid="{00000000-0005-0000-0000-000067600000}"/>
    <cellStyle name="Normal 3 2 2 2 2" xfId="24680" xr:uid="{00000000-0005-0000-0000-000068600000}"/>
    <cellStyle name="Normal 3 2 2 2 2 2" xfId="24681" xr:uid="{00000000-0005-0000-0000-000069600000}"/>
    <cellStyle name="Normal 3 2 2 2 3" xfId="24682" xr:uid="{00000000-0005-0000-0000-00006A600000}"/>
    <cellStyle name="Normal 3 2 2 2 3 2" xfId="24683" xr:uid="{00000000-0005-0000-0000-00006B600000}"/>
    <cellStyle name="Normal 3 2 2 2 3 2 2" xfId="24684" xr:uid="{00000000-0005-0000-0000-00006C600000}"/>
    <cellStyle name="Normal 3 2 2 2 3 3" xfId="24685" xr:uid="{00000000-0005-0000-0000-00006D600000}"/>
    <cellStyle name="Normal 3 2 2 2 4" xfId="24686" xr:uid="{00000000-0005-0000-0000-00006E600000}"/>
    <cellStyle name="Normal 3 2 2 2 4 2" xfId="24687" xr:uid="{00000000-0005-0000-0000-00006F600000}"/>
    <cellStyle name="Normal 3 2 2 2 4 2 2" xfId="24688" xr:uid="{00000000-0005-0000-0000-000070600000}"/>
    <cellStyle name="Normal 3 2 2 2 4 3" xfId="24689" xr:uid="{00000000-0005-0000-0000-000071600000}"/>
    <cellStyle name="Normal 3 2 2 2 5" xfId="24690" xr:uid="{00000000-0005-0000-0000-000072600000}"/>
    <cellStyle name="Normal 3 2 2 3" xfId="24691" xr:uid="{00000000-0005-0000-0000-000073600000}"/>
    <cellStyle name="Normal 3 2 2 3 2" xfId="24692" xr:uid="{00000000-0005-0000-0000-000074600000}"/>
    <cellStyle name="Normal 3 2 2 3 2 2" xfId="24693" xr:uid="{00000000-0005-0000-0000-000075600000}"/>
    <cellStyle name="Normal 3 2 2 3 2 2 2" xfId="24694" xr:uid="{00000000-0005-0000-0000-000076600000}"/>
    <cellStyle name="Normal 3 2 2 3 2 3" xfId="24695" xr:uid="{00000000-0005-0000-0000-000077600000}"/>
    <cellStyle name="Normal 3 2 2 3 2 3 2" xfId="24696" xr:uid="{00000000-0005-0000-0000-000078600000}"/>
    <cellStyle name="Normal 3 2 2 3 2 3 2 2" xfId="24697" xr:uid="{00000000-0005-0000-0000-000079600000}"/>
    <cellStyle name="Normal 3 2 2 3 2 3 3" xfId="24698" xr:uid="{00000000-0005-0000-0000-00007A600000}"/>
    <cellStyle name="Normal 3 2 2 3 2 4" xfId="24699" xr:uid="{00000000-0005-0000-0000-00007B600000}"/>
    <cellStyle name="Normal 3 2 2 3 3" xfId="24700" xr:uid="{00000000-0005-0000-0000-00007C600000}"/>
    <cellStyle name="Normal 3 2 2 3 3 2" xfId="24701" xr:uid="{00000000-0005-0000-0000-00007D600000}"/>
    <cellStyle name="Normal 3 2 2 3 3 2 2" xfId="24702" xr:uid="{00000000-0005-0000-0000-00007E600000}"/>
    <cellStyle name="Normal 3 2 2 3 3 3" xfId="24703" xr:uid="{00000000-0005-0000-0000-00007F600000}"/>
    <cellStyle name="Normal 3 2 2 3 4" xfId="24704" xr:uid="{00000000-0005-0000-0000-000080600000}"/>
    <cellStyle name="Normal 3 2 2 3 4 2" xfId="24705" xr:uid="{00000000-0005-0000-0000-000081600000}"/>
    <cellStyle name="Normal 3 2 2 3 4 2 2" xfId="24706" xr:uid="{00000000-0005-0000-0000-000082600000}"/>
    <cellStyle name="Normal 3 2 2 3 4 3" xfId="24707" xr:uid="{00000000-0005-0000-0000-000083600000}"/>
    <cellStyle name="Normal 3 2 2 3 5" xfId="24708" xr:uid="{00000000-0005-0000-0000-000084600000}"/>
    <cellStyle name="Normal 3 2 2 3 5 2" xfId="24709" xr:uid="{00000000-0005-0000-0000-000085600000}"/>
    <cellStyle name="Normal 3 2 2 3 5 2 2" xfId="24710" xr:uid="{00000000-0005-0000-0000-000086600000}"/>
    <cellStyle name="Normal 3 2 2 3 5 3" xfId="24711" xr:uid="{00000000-0005-0000-0000-000087600000}"/>
    <cellStyle name="Normal 3 2 2 3 6" xfId="24712" xr:uid="{00000000-0005-0000-0000-000088600000}"/>
    <cellStyle name="Normal 3 2 2 4" xfId="24713" xr:uid="{00000000-0005-0000-0000-000089600000}"/>
    <cellStyle name="Normal 3 2 2 5" xfId="24714" xr:uid="{00000000-0005-0000-0000-00008A600000}"/>
    <cellStyle name="Normal 3 2 3" xfId="24715" xr:uid="{00000000-0005-0000-0000-00008B600000}"/>
    <cellStyle name="Normal 3 2 3 2" xfId="24716" xr:uid="{00000000-0005-0000-0000-00008C600000}"/>
    <cellStyle name="Normal 3 2 3 2 2" xfId="24717" xr:uid="{00000000-0005-0000-0000-00008D600000}"/>
    <cellStyle name="Normal 3 2 3 3" xfId="24718" xr:uid="{00000000-0005-0000-0000-00008E600000}"/>
    <cellStyle name="Normal 3 2 3 3 2" xfId="24719" xr:uid="{00000000-0005-0000-0000-00008F600000}"/>
    <cellStyle name="Normal 3 2 3 3 2 2" xfId="24720" xr:uid="{00000000-0005-0000-0000-000090600000}"/>
    <cellStyle name="Normal 3 2 3 3 3" xfId="24721" xr:uid="{00000000-0005-0000-0000-000091600000}"/>
    <cellStyle name="Normal 3 2 3 4" xfId="24722" xr:uid="{00000000-0005-0000-0000-000092600000}"/>
    <cellStyle name="Normal 3 2 3 4 2" xfId="24723" xr:uid="{00000000-0005-0000-0000-000093600000}"/>
    <cellStyle name="Normal 3 2 3 4 2 2" xfId="24724" xr:uid="{00000000-0005-0000-0000-000094600000}"/>
    <cellStyle name="Normal 3 2 3 4 3" xfId="24725" xr:uid="{00000000-0005-0000-0000-000095600000}"/>
    <cellStyle name="Normal 3 2 3 5" xfId="24726" xr:uid="{00000000-0005-0000-0000-000096600000}"/>
    <cellStyle name="Normal 3 2 4" xfId="24727" xr:uid="{00000000-0005-0000-0000-000097600000}"/>
    <cellStyle name="Normal 3 2 4 2" xfId="24728" xr:uid="{00000000-0005-0000-0000-000098600000}"/>
    <cellStyle name="Normal 3 2 4 2 2" xfId="24729" xr:uid="{00000000-0005-0000-0000-000099600000}"/>
    <cellStyle name="Normal 3 2 4 2 2 2" xfId="24730" xr:uid="{00000000-0005-0000-0000-00009A600000}"/>
    <cellStyle name="Normal 3 2 4 2 3" xfId="24731" xr:uid="{00000000-0005-0000-0000-00009B600000}"/>
    <cellStyle name="Normal 3 2 4 2 3 2" xfId="24732" xr:uid="{00000000-0005-0000-0000-00009C600000}"/>
    <cellStyle name="Normal 3 2 4 2 3 2 2" xfId="24733" xr:uid="{00000000-0005-0000-0000-00009D600000}"/>
    <cellStyle name="Normal 3 2 4 2 3 3" xfId="24734" xr:uid="{00000000-0005-0000-0000-00009E600000}"/>
    <cellStyle name="Normal 3 2 4 2 4" xfId="24735" xr:uid="{00000000-0005-0000-0000-00009F600000}"/>
    <cellStyle name="Normal 3 2 4 3" xfId="24736" xr:uid="{00000000-0005-0000-0000-0000A0600000}"/>
    <cellStyle name="Normal 3 2 4 3 2" xfId="24737" xr:uid="{00000000-0005-0000-0000-0000A1600000}"/>
    <cellStyle name="Normal 3 2 4 3 2 2" xfId="24738" xr:uid="{00000000-0005-0000-0000-0000A2600000}"/>
    <cellStyle name="Normal 3 2 4 3 3" xfId="24739" xr:uid="{00000000-0005-0000-0000-0000A3600000}"/>
    <cellStyle name="Normal 3 2 4 4" xfId="24740" xr:uid="{00000000-0005-0000-0000-0000A4600000}"/>
    <cellStyle name="Normal 3 2 4 4 2" xfId="24741" xr:uid="{00000000-0005-0000-0000-0000A5600000}"/>
    <cellStyle name="Normal 3 2 4 4 2 2" xfId="24742" xr:uid="{00000000-0005-0000-0000-0000A6600000}"/>
    <cellStyle name="Normal 3 2 4 4 3" xfId="24743" xr:uid="{00000000-0005-0000-0000-0000A7600000}"/>
    <cellStyle name="Normal 3 2 4 5" xfId="24744" xr:uid="{00000000-0005-0000-0000-0000A8600000}"/>
    <cellStyle name="Normal 3 2 4 5 2" xfId="24745" xr:uid="{00000000-0005-0000-0000-0000A9600000}"/>
    <cellStyle name="Normal 3 2 4 5 2 2" xfId="24746" xr:uid="{00000000-0005-0000-0000-0000AA600000}"/>
    <cellStyle name="Normal 3 2 4 5 3" xfId="24747" xr:uid="{00000000-0005-0000-0000-0000AB600000}"/>
    <cellStyle name="Normal 3 2 4 6" xfId="24748" xr:uid="{00000000-0005-0000-0000-0000AC600000}"/>
    <cellStyle name="Normal 3 2 5" xfId="24749" xr:uid="{00000000-0005-0000-0000-0000AD600000}"/>
    <cellStyle name="Normal 3 2 5 2" xfId="24750" xr:uid="{00000000-0005-0000-0000-0000AE600000}"/>
    <cellStyle name="Normal 3 2 5 2 2" xfId="24751" xr:uid="{00000000-0005-0000-0000-0000AF600000}"/>
    <cellStyle name="Normal 3 2 5 3" xfId="24752" xr:uid="{00000000-0005-0000-0000-0000B0600000}"/>
    <cellStyle name="Normal 3 2 6" xfId="24753" xr:uid="{00000000-0005-0000-0000-0000B1600000}"/>
    <cellStyle name="Normal 3 2 7" xfId="24754" xr:uid="{00000000-0005-0000-0000-0000B2600000}"/>
    <cellStyle name="Normal 3 3" xfId="24755" xr:uid="{00000000-0005-0000-0000-0000B3600000}"/>
    <cellStyle name="Normal 3 3 2" xfId="24756" xr:uid="{00000000-0005-0000-0000-0000B4600000}"/>
    <cellStyle name="Normal 3 3 2 2" xfId="24757" xr:uid="{00000000-0005-0000-0000-0000B5600000}"/>
    <cellStyle name="Normal 3 3 2 2 2" xfId="24758" xr:uid="{00000000-0005-0000-0000-0000B6600000}"/>
    <cellStyle name="Normal 3 3 2 2 2 2" xfId="24759" xr:uid="{00000000-0005-0000-0000-0000B7600000}"/>
    <cellStyle name="Normal 3 3 2 2 3" xfId="24760" xr:uid="{00000000-0005-0000-0000-0000B8600000}"/>
    <cellStyle name="Normal 3 3 2 2 3 2" xfId="24761" xr:uid="{00000000-0005-0000-0000-0000B9600000}"/>
    <cellStyle name="Normal 3 3 2 2 3 2 2" xfId="24762" xr:uid="{00000000-0005-0000-0000-0000BA600000}"/>
    <cellStyle name="Normal 3 3 2 2 3 3" xfId="24763" xr:uid="{00000000-0005-0000-0000-0000BB600000}"/>
    <cellStyle name="Normal 3 3 2 2 4" xfId="24764" xr:uid="{00000000-0005-0000-0000-0000BC600000}"/>
    <cellStyle name="Normal 3 3 2 2 4 2" xfId="24765" xr:uid="{00000000-0005-0000-0000-0000BD600000}"/>
    <cellStyle name="Normal 3 3 2 2 4 2 2" xfId="24766" xr:uid="{00000000-0005-0000-0000-0000BE600000}"/>
    <cellStyle name="Normal 3 3 2 2 4 3" xfId="24767" xr:uid="{00000000-0005-0000-0000-0000BF600000}"/>
    <cellStyle name="Normal 3 3 2 2 5" xfId="24768" xr:uid="{00000000-0005-0000-0000-0000C0600000}"/>
    <cellStyle name="Normal 3 3 2 3" xfId="24769" xr:uid="{00000000-0005-0000-0000-0000C1600000}"/>
    <cellStyle name="Normal 3 3 2 3 2" xfId="24770" xr:uid="{00000000-0005-0000-0000-0000C2600000}"/>
    <cellStyle name="Normal 3 3 2 3 2 2" xfId="24771" xr:uid="{00000000-0005-0000-0000-0000C3600000}"/>
    <cellStyle name="Normal 3 3 2 3 3" xfId="24772" xr:uid="{00000000-0005-0000-0000-0000C4600000}"/>
    <cellStyle name="Normal 3 3 2 4" xfId="24773" xr:uid="{00000000-0005-0000-0000-0000C5600000}"/>
    <cellStyle name="Normal 3 3 2 4 2" xfId="24774" xr:uid="{00000000-0005-0000-0000-0000C6600000}"/>
    <cellStyle name="Normal 3 3 2 4 2 2" xfId="24775" xr:uid="{00000000-0005-0000-0000-0000C7600000}"/>
    <cellStyle name="Normal 3 3 2 4 3" xfId="24776" xr:uid="{00000000-0005-0000-0000-0000C8600000}"/>
    <cellStyle name="Normal 3 3 2 5" xfId="24777" xr:uid="{00000000-0005-0000-0000-0000C9600000}"/>
    <cellStyle name="Normal 3 3 2 5 2" xfId="24778" xr:uid="{00000000-0005-0000-0000-0000CA600000}"/>
    <cellStyle name="Normal 3 3 2 5 2 2" xfId="24779" xr:uid="{00000000-0005-0000-0000-0000CB600000}"/>
    <cellStyle name="Normal 3 3 2 5 3" xfId="24780" xr:uid="{00000000-0005-0000-0000-0000CC600000}"/>
    <cellStyle name="Normal 3 3 2 6" xfId="24781" xr:uid="{00000000-0005-0000-0000-0000CD600000}"/>
    <cellStyle name="Normal 3 3 3" xfId="24782" xr:uid="{00000000-0005-0000-0000-0000CE600000}"/>
    <cellStyle name="Normal 3 3 3 2" xfId="24783" xr:uid="{00000000-0005-0000-0000-0000CF600000}"/>
    <cellStyle name="Normal 3 3 3 2 2" xfId="24784" xr:uid="{00000000-0005-0000-0000-0000D0600000}"/>
    <cellStyle name="Normal 3 3 3 3" xfId="24785" xr:uid="{00000000-0005-0000-0000-0000D1600000}"/>
    <cellStyle name="Normal 3 3 3 3 2" xfId="24786" xr:uid="{00000000-0005-0000-0000-0000D2600000}"/>
    <cellStyle name="Normal 3 3 3 3 2 2" xfId="24787" xr:uid="{00000000-0005-0000-0000-0000D3600000}"/>
    <cellStyle name="Normal 3 3 3 3 3" xfId="24788" xr:uid="{00000000-0005-0000-0000-0000D4600000}"/>
    <cellStyle name="Normal 3 3 3 4" xfId="24789" xr:uid="{00000000-0005-0000-0000-0000D5600000}"/>
    <cellStyle name="Normal 3 3 3 4 2" xfId="24790" xr:uid="{00000000-0005-0000-0000-0000D6600000}"/>
    <cellStyle name="Normal 3 3 3 4 2 2" xfId="24791" xr:uid="{00000000-0005-0000-0000-0000D7600000}"/>
    <cellStyle name="Normal 3 3 3 4 3" xfId="24792" xr:uid="{00000000-0005-0000-0000-0000D8600000}"/>
    <cellStyle name="Normal 3 3 3 5" xfId="24793" xr:uid="{00000000-0005-0000-0000-0000D9600000}"/>
    <cellStyle name="Normal 3 3 4" xfId="24794" xr:uid="{00000000-0005-0000-0000-0000DA600000}"/>
    <cellStyle name="Normal 3 3 4 2" xfId="24795" xr:uid="{00000000-0005-0000-0000-0000DB600000}"/>
    <cellStyle name="Normal 3 3 4 2 2" xfId="24796" xr:uid="{00000000-0005-0000-0000-0000DC600000}"/>
    <cellStyle name="Normal 3 3 4 2 2 2" xfId="24797" xr:uid="{00000000-0005-0000-0000-0000DD600000}"/>
    <cellStyle name="Normal 3 3 4 2 3" xfId="24798" xr:uid="{00000000-0005-0000-0000-0000DE600000}"/>
    <cellStyle name="Normal 3 3 4 2 3 2" xfId="24799" xr:uid="{00000000-0005-0000-0000-0000DF600000}"/>
    <cellStyle name="Normal 3 3 4 2 3 2 2" xfId="24800" xr:uid="{00000000-0005-0000-0000-0000E0600000}"/>
    <cellStyle name="Normal 3 3 4 2 3 3" xfId="24801" xr:uid="{00000000-0005-0000-0000-0000E1600000}"/>
    <cellStyle name="Normal 3 3 4 2 4" xfId="24802" xr:uid="{00000000-0005-0000-0000-0000E2600000}"/>
    <cellStyle name="Normal 3 3 4 3" xfId="24803" xr:uid="{00000000-0005-0000-0000-0000E3600000}"/>
    <cellStyle name="Normal 3 3 4 3 2" xfId="24804" xr:uid="{00000000-0005-0000-0000-0000E4600000}"/>
    <cellStyle name="Normal 3 3 4 3 2 2" xfId="24805" xr:uid="{00000000-0005-0000-0000-0000E5600000}"/>
    <cellStyle name="Normal 3 3 4 3 3" xfId="24806" xr:uid="{00000000-0005-0000-0000-0000E6600000}"/>
    <cellStyle name="Normal 3 3 4 4" xfId="24807" xr:uid="{00000000-0005-0000-0000-0000E7600000}"/>
    <cellStyle name="Normal 3 3 4 4 2" xfId="24808" xr:uid="{00000000-0005-0000-0000-0000E8600000}"/>
    <cellStyle name="Normal 3 3 4 4 2 2" xfId="24809" xr:uid="{00000000-0005-0000-0000-0000E9600000}"/>
    <cellStyle name="Normal 3 3 4 4 3" xfId="24810" xr:uid="{00000000-0005-0000-0000-0000EA600000}"/>
    <cellStyle name="Normal 3 3 4 5" xfId="24811" xr:uid="{00000000-0005-0000-0000-0000EB600000}"/>
    <cellStyle name="Normal 3 3 4 5 2" xfId="24812" xr:uid="{00000000-0005-0000-0000-0000EC600000}"/>
    <cellStyle name="Normal 3 3 4 5 2 2" xfId="24813" xr:uid="{00000000-0005-0000-0000-0000ED600000}"/>
    <cellStyle name="Normal 3 3 4 5 3" xfId="24814" xr:uid="{00000000-0005-0000-0000-0000EE600000}"/>
    <cellStyle name="Normal 3 3 4 6" xfId="24815" xr:uid="{00000000-0005-0000-0000-0000EF600000}"/>
    <cellStyle name="Normal 3 3 5" xfId="24816" xr:uid="{00000000-0005-0000-0000-0000F0600000}"/>
    <cellStyle name="Normal 3 3 5 2" xfId="24817" xr:uid="{00000000-0005-0000-0000-0000F1600000}"/>
    <cellStyle name="Normal 3 3 5 2 2" xfId="24818" xr:uid="{00000000-0005-0000-0000-0000F2600000}"/>
    <cellStyle name="Normal 3 3 5 3" xfId="24819" xr:uid="{00000000-0005-0000-0000-0000F3600000}"/>
    <cellStyle name="Normal 3 3 6" xfId="24820" xr:uid="{00000000-0005-0000-0000-0000F4600000}"/>
    <cellStyle name="Normal 3 3 6 2" xfId="24821" xr:uid="{00000000-0005-0000-0000-0000F5600000}"/>
    <cellStyle name="Normal 3 3 6 2 2" xfId="24822" xr:uid="{00000000-0005-0000-0000-0000F6600000}"/>
    <cellStyle name="Normal 3 3 6 3" xfId="24823" xr:uid="{00000000-0005-0000-0000-0000F7600000}"/>
    <cellStyle name="Normal 3 3 7" xfId="24824" xr:uid="{00000000-0005-0000-0000-0000F8600000}"/>
    <cellStyle name="Normal 3 3 7 2" xfId="24825" xr:uid="{00000000-0005-0000-0000-0000F9600000}"/>
    <cellStyle name="Normal 3 3 7 2 2" xfId="24826" xr:uid="{00000000-0005-0000-0000-0000FA600000}"/>
    <cellStyle name="Normal 3 3 7 3" xfId="24827" xr:uid="{00000000-0005-0000-0000-0000FB600000}"/>
    <cellStyle name="Normal 3 3 8" xfId="24828" xr:uid="{00000000-0005-0000-0000-0000FC600000}"/>
    <cellStyle name="Normal 3 4" xfId="24829" xr:uid="{00000000-0005-0000-0000-0000FD600000}"/>
    <cellStyle name="Normal 3 4 2" xfId="24830" xr:uid="{00000000-0005-0000-0000-0000FE600000}"/>
    <cellStyle name="Normal 3 4 2 2" xfId="24831" xr:uid="{00000000-0005-0000-0000-0000FF600000}"/>
    <cellStyle name="Normal 3 4 2 2 2" xfId="24832" xr:uid="{00000000-0005-0000-0000-000000610000}"/>
    <cellStyle name="Normal 3 4 2 3" xfId="24833" xr:uid="{00000000-0005-0000-0000-000001610000}"/>
    <cellStyle name="Normal 3 4 2 3 2" xfId="24834" xr:uid="{00000000-0005-0000-0000-000002610000}"/>
    <cellStyle name="Normal 3 4 2 3 2 2" xfId="24835" xr:uid="{00000000-0005-0000-0000-000003610000}"/>
    <cellStyle name="Normal 3 4 2 3 3" xfId="24836" xr:uid="{00000000-0005-0000-0000-000004610000}"/>
    <cellStyle name="Normal 3 4 2 4" xfId="24837" xr:uid="{00000000-0005-0000-0000-000005610000}"/>
    <cellStyle name="Normal 3 4 2 4 2" xfId="24838" xr:uid="{00000000-0005-0000-0000-000006610000}"/>
    <cellStyle name="Normal 3 4 2 4 2 2" xfId="24839" xr:uid="{00000000-0005-0000-0000-000007610000}"/>
    <cellStyle name="Normal 3 4 2 4 3" xfId="24840" xr:uid="{00000000-0005-0000-0000-000008610000}"/>
    <cellStyle name="Normal 3 4 2 5" xfId="24841" xr:uid="{00000000-0005-0000-0000-000009610000}"/>
    <cellStyle name="Normal 3 4 3" xfId="24842" xr:uid="{00000000-0005-0000-0000-00000A610000}"/>
    <cellStyle name="Normal 3 4 3 2" xfId="24843" xr:uid="{00000000-0005-0000-0000-00000B610000}"/>
    <cellStyle name="Normal 3 4 3 2 2" xfId="24844" xr:uid="{00000000-0005-0000-0000-00000C610000}"/>
    <cellStyle name="Normal 3 4 3 3" xfId="24845" xr:uid="{00000000-0005-0000-0000-00000D610000}"/>
    <cellStyle name="Normal 3 4 4" xfId="24846" xr:uid="{00000000-0005-0000-0000-00000E610000}"/>
    <cellStyle name="Normal 3 4 4 2" xfId="24847" xr:uid="{00000000-0005-0000-0000-00000F610000}"/>
    <cellStyle name="Normal 3 4 4 2 2" xfId="24848" xr:uid="{00000000-0005-0000-0000-000010610000}"/>
    <cellStyle name="Normal 3 4 4 3" xfId="24849" xr:uid="{00000000-0005-0000-0000-000011610000}"/>
    <cellStyle name="Normal 3 4 5" xfId="24850" xr:uid="{00000000-0005-0000-0000-000012610000}"/>
    <cellStyle name="Normal 3 4 5 2" xfId="24851" xr:uid="{00000000-0005-0000-0000-000013610000}"/>
    <cellStyle name="Normal 3 4 5 2 2" xfId="24852" xr:uid="{00000000-0005-0000-0000-000014610000}"/>
    <cellStyle name="Normal 3 4 5 3" xfId="24853" xr:uid="{00000000-0005-0000-0000-000015610000}"/>
    <cellStyle name="Normal 3 4 6" xfId="24854" xr:uid="{00000000-0005-0000-0000-000016610000}"/>
    <cellStyle name="Normal 3 5" xfId="24855" xr:uid="{00000000-0005-0000-0000-000017610000}"/>
    <cellStyle name="Normal 3 5 2" xfId="24856" xr:uid="{00000000-0005-0000-0000-000018610000}"/>
    <cellStyle name="Normal 3 5 2 2" xfId="24857" xr:uid="{00000000-0005-0000-0000-000019610000}"/>
    <cellStyle name="Normal 3 5 2 2 2" xfId="24858" xr:uid="{00000000-0005-0000-0000-00001A610000}"/>
    <cellStyle name="Normal 3 5 2 3" xfId="24859" xr:uid="{00000000-0005-0000-0000-00001B610000}"/>
    <cellStyle name="Normal 3 5 2 3 2" xfId="24860" xr:uid="{00000000-0005-0000-0000-00001C610000}"/>
    <cellStyle name="Normal 3 5 2 3 2 2" xfId="24861" xr:uid="{00000000-0005-0000-0000-00001D610000}"/>
    <cellStyle name="Normal 3 5 2 3 3" xfId="24862" xr:uid="{00000000-0005-0000-0000-00001E610000}"/>
    <cellStyle name="Normal 3 5 2 4" xfId="24863" xr:uid="{00000000-0005-0000-0000-00001F610000}"/>
    <cellStyle name="Normal 3 5 2 4 2" xfId="24864" xr:uid="{00000000-0005-0000-0000-000020610000}"/>
    <cellStyle name="Normal 3 5 2 4 2 2" xfId="24865" xr:uid="{00000000-0005-0000-0000-000021610000}"/>
    <cellStyle name="Normal 3 5 2 4 3" xfId="24866" xr:uid="{00000000-0005-0000-0000-000022610000}"/>
    <cellStyle name="Normal 3 5 2 5" xfId="24867" xr:uid="{00000000-0005-0000-0000-000023610000}"/>
    <cellStyle name="Normal 3 5 3" xfId="24868" xr:uid="{00000000-0005-0000-0000-000024610000}"/>
    <cellStyle name="Normal 3 5 3 2" xfId="24869" xr:uid="{00000000-0005-0000-0000-000025610000}"/>
    <cellStyle name="Normal 3 5 3 2 2" xfId="24870" xr:uid="{00000000-0005-0000-0000-000026610000}"/>
    <cellStyle name="Normal 3 5 3 3" xfId="24871" xr:uid="{00000000-0005-0000-0000-000027610000}"/>
    <cellStyle name="Normal 3 5 4" xfId="24872" xr:uid="{00000000-0005-0000-0000-000028610000}"/>
    <cellStyle name="Normal 3 5 4 2" xfId="24873" xr:uid="{00000000-0005-0000-0000-000029610000}"/>
    <cellStyle name="Normal 3 5 4 2 2" xfId="24874" xr:uid="{00000000-0005-0000-0000-00002A610000}"/>
    <cellStyle name="Normal 3 5 4 3" xfId="24875" xr:uid="{00000000-0005-0000-0000-00002B610000}"/>
    <cellStyle name="Normal 3 5 5" xfId="24876" xr:uid="{00000000-0005-0000-0000-00002C610000}"/>
    <cellStyle name="Normal 3 5 5 2" xfId="24877" xr:uid="{00000000-0005-0000-0000-00002D610000}"/>
    <cellStyle name="Normal 3 5 5 2 2" xfId="24878" xr:uid="{00000000-0005-0000-0000-00002E610000}"/>
    <cellStyle name="Normal 3 5 5 3" xfId="24879" xr:uid="{00000000-0005-0000-0000-00002F610000}"/>
    <cellStyle name="Normal 3 5 6" xfId="24880" xr:uid="{00000000-0005-0000-0000-000030610000}"/>
    <cellStyle name="Normal 3 6" xfId="24881" xr:uid="{00000000-0005-0000-0000-000031610000}"/>
    <cellStyle name="Normal 3 6 2" xfId="24882" xr:uid="{00000000-0005-0000-0000-000032610000}"/>
    <cellStyle name="Normal 3 6 2 2" xfId="24883" xr:uid="{00000000-0005-0000-0000-000033610000}"/>
    <cellStyle name="Normal 3 6 2 2 2" xfId="24884" xr:uid="{00000000-0005-0000-0000-000034610000}"/>
    <cellStyle name="Normal 3 6 2 2 2 2" xfId="24885" xr:uid="{00000000-0005-0000-0000-000035610000}"/>
    <cellStyle name="Normal 3 6 2 2 3" xfId="24886" xr:uid="{00000000-0005-0000-0000-000036610000}"/>
    <cellStyle name="Normal 3 6 2 2 3 2" xfId="24887" xr:uid="{00000000-0005-0000-0000-000037610000}"/>
    <cellStyle name="Normal 3 6 2 2 3 2 2" xfId="24888" xr:uid="{00000000-0005-0000-0000-000038610000}"/>
    <cellStyle name="Normal 3 6 2 2 3 3" xfId="24889" xr:uid="{00000000-0005-0000-0000-000039610000}"/>
    <cellStyle name="Normal 3 6 2 2 4" xfId="24890" xr:uid="{00000000-0005-0000-0000-00003A610000}"/>
    <cellStyle name="Normal 3 6 2 3" xfId="24891" xr:uid="{00000000-0005-0000-0000-00003B610000}"/>
    <cellStyle name="Normal 3 6 2 3 2" xfId="24892" xr:uid="{00000000-0005-0000-0000-00003C610000}"/>
    <cellStyle name="Normal 3 6 2 3 2 2" xfId="24893" xr:uid="{00000000-0005-0000-0000-00003D610000}"/>
    <cellStyle name="Normal 3 6 2 3 3" xfId="24894" xr:uid="{00000000-0005-0000-0000-00003E610000}"/>
    <cellStyle name="Normal 3 6 2 4" xfId="24895" xr:uid="{00000000-0005-0000-0000-00003F610000}"/>
    <cellStyle name="Normal 3 6 2 4 2" xfId="24896" xr:uid="{00000000-0005-0000-0000-000040610000}"/>
    <cellStyle name="Normal 3 6 2 4 2 2" xfId="24897" xr:uid="{00000000-0005-0000-0000-000041610000}"/>
    <cellStyle name="Normal 3 6 2 4 3" xfId="24898" xr:uid="{00000000-0005-0000-0000-000042610000}"/>
    <cellStyle name="Normal 3 6 2 5" xfId="24899" xr:uid="{00000000-0005-0000-0000-000043610000}"/>
    <cellStyle name="Normal 3 6 3" xfId="24900" xr:uid="{00000000-0005-0000-0000-000044610000}"/>
    <cellStyle name="Normal 3 6 3 2" xfId="24901" xr:uid="{00000000-0005-0000-0000-000045610000}"/>
    <cellStyle name="Normal 3 6 4" xfId="24902" xr:uid="{00000000-0005-0000-0000-000046610000}"/>
    <cellStyle name="Normal 3 6 4 2" xfId="24903" xr:uid="{00000000-0005-0000-0000-000047610000}"/>
    <cellStyle name="Normal 3 6 4 2 2" xfId="24904" xr:uid="{00000000-0005-0000-0000-000048610000}"/>
    <cellStyle name="Normal 3 6 4 3" xfId="24905" xr:uid="{00000000-0005-0000-0000-000049610000}"/>
    <cellStyle name="Normal 3 6 5" xfId="24906" xr:uid="{00000000-0005-0000-0000-00004A610000}"/>
    <cellStyle name="Normal 3 6 5 2" xfId="24907" xr:uid="{00000000-0005-0000-0000-00004B610000}"/>
    <cellStyle name="Normal 3 6 5 2 2" xfId="24908" xr:uid="{00000000-0005-0000-0000-00004C610000}"/>
    <cellStyle name="Normal 3 6 5 3" xfId="24909" xr:uid="{00000000-0005-0000-0000-00004D610000}"/>
    <cellStyle name="Normal 3 6 6" xfId="24910" xr:uid="{00000000-0005-0000-0000-00004E610000}"/>
    <cellStyle name="Normal 3 7" xfId="24911" xr:uid="{00000000-0005-0000-0000-00004F610000}"/>
    <cellStyle name="Normal 3 7 2" xfId="24912" xr:uid="{00000000-0005-0000-0000-000050610000}"/>
    <cellStyle name="Normal 3 7 2 2" xfId="24913" xr:uid="{00000000-0005-0000-0000-000051610000}"/>
    <cellStyle name="Normal 3 7 2 2 2" xfId="24914" xr:uid="{00000000-0005-0000-0000-000052610000}"/>
    <cellStyle name="Normal 3 7 2 3" xfId="24915" xr:uid="{00000000-0005-0000-0000-000053610000}"/>
    <cellStyle name="Normal 3 7 2 3 2" xfId="24916" xr:uid="{00000000-0005-0000-0000-000054610000}"/>
    <cellStyle name="Normal 3 7 2 3 2 2" xfId="24917" xr:uid="{00000000-0005-0000-0000-000055610000}"/>
    <cellStyle name="Normal 3 7 2 3 3" xfId="24918" xr:uid="{00000000-0005-0000-0000-000056610000}"/>
    <cellStyle name="Normal 3 7 2 4" xfId="24919" xr:uid="{00000000-0005-0000-0000-000057610000}"/>
    <cellStyle name="Normal 3 7 3" xfId="24920" xr:uid="{00000000-0005-0000-0000-000058610000}"/>
    <cellStyle name="Normal 3 7 3 2" xfId="24921" xr:uid="{00000000-0005-0000-0000-000059610000}"/>
    <cellStyle name="Normal 3 7 3 2 2" xfId="24922" xr:uid="{00000000-0005-0000-0000-00005A610000}"/>
    <cellStyle name="Normal 3 7 3 3" xfId="24923" xr:uid="{00000000-0005-0000-0000-00005B610000}"/>
    <cellStyle name="Normal 3 7 4" xfId="24924" xr:uid="{00000000-0005-0000-0000-00005C610000}"/>
    <cellStyle name="Normal 3 7 4 2" xfId="24925" xr:uid="{00000000-0005-0000-0000-00005D610000}"/>
    <cellStyle name="Normal 3 7 4 2 2" xfId="24926" xr:uid="{00000000-0005-0000-0000-00005E610000}"/>
    <cellStyle name="Normal 3 7 4 3" xfId="24927" xr:uid="{00000000-0005-0000-0000-00005F610000}"/>
    <cellStyle name="Normal 3 7 5" xfId="24928" xr:uid="{00000000-0005-0000-0000-000060610000}"/>
    <cellStyle name="Normal 3 7 6" xfId="31685" xr:uid="{00000000-0005-0000-0000-0000C57B0000}"/>
    <cellStyle name="Normal 3 8" xfId="24929" xr:uid="{00000000-0005-0000-0000-000061610000}"/>
    <cellStyle name="Normal 3 8 2" xfId="24930" xr:uid="{00000000-0005-0000-0000-000062610000}"/>
    <cellStyle name="Normal 3 8 2 2" xfId="24931" xr:uid="{00000000-0005-0000-0000-000063610000}"/>
    <cellStyle name="Normal 3 8 3" xfId="24932" xr:uid="{00000000-0005-0000-0000-000064610000}"/>
    <cellStyle name="Normal 3 9" xfId="24933" xr:uid="{00000000-0005-0000-0000-000065610000}"/>
    <cellStyle name="Normal 3 9 2" xfId="24934" xr:uid="{00000000-0005-0000-0000-000066610000}"/>
    <cellStyle name="Normal 30" xfId="24935" xr:uid="{00000000-0005-0000-0000-000067610000}"/>
    <cellStyle name="Normal 30 2" xfId="24936" xr:uid="{00000000-0005-0000-0000-000068610000}"/>
    <cellStyle name="Normal 30 2 2" xfId="24937" xr:uid="{00000000-0005-0000-0000-000069610000}"/>
    <cellStyle name="Normal 30 2 2 2" xfId="24938" xr:uid="{00000000-0005-0000-0000-00006A610000}"/>
    <cellStyle name="Normal 30 2 2 2 2" xfId="24939" xr:uid="{00000000-0005-0000-0000-00006B610000}"/>
    <cellStyle name="Normal 30 2 2 3" xfId="24940" xr:uid="{00000000-0005-0000-0000-00006C610000}"/>
    <cellStyle name="Normal 30 2 2 3 2" xfId="24941" xr:uid="{00000000-0005-0000-0000-00006D610000}"/>
    <cellStyle name="Normal 30 2 2 3 2 2" xfId="24942" xr:uid="{00000000-0005-0000-0000-00006E610000}"/>
    <cellStyle name="Normal 30 2 2 3 3" xfId="24943" xr:uid="{00000000-0005-0000-0000-00006F610000}"/>
    <cellStyle name="Normal 30 2 2 4" xfId="24944" xr:uid="{00000000-0005-0000-0000-000070610000}"/>
    <cellStyle name="Normal 30 2 2 4 2" xfId="24945" xr:uid="{00000000-0005-0000-0000-000071610000}"/>
    <cellStyle name="Normal 30 2 2 4 2 2" xfId="24946" xr:uid="{00000000-0005-0000-0000-000072610000}"/>
    <cellStyle name="Normal 30 2 2 4 3" xfId="24947" xr:uid="{00000000-0005-0000-0000-000073610000}"/>
    <cellStyle name="Normal 30 2 2 5" xfId="24948" xr:uid="{00000000-0005-0000-0000-000074610000}"/>
    <cellStyle name="Normal 30 2 3" xfId="24949" xr:uid="{00000000-0005-0000-0000-000075610000}"/>
    <cellStyle name="Normal 30 2 3 2" xfId="24950" xr:uid="{00000000-0005-0000-0000-000076610000}"/>
    <cellStyle name="Normal 30 2 3 2 2" xfId="24951" xr:uid="{00000000-0005-0000-0000-000077610000}"/>
    <cellStyle name="Normal 30 2 3 3" xfId="24952" xr:uid="{00000000-0005-0000-0000-000078610000}"/>
    <cellStyle name="Normal 30 2 4" xfId="24953" xr:uid="{00000000-0005-0000-0000-000079610000}"/>
    <cellStyle name="Normal 30 2 4 2" xfId="24954" xr:uid="{00000000-0005-0000-0000-00007A610000}"/>
    <cellStyle name="Normal 30 2 4 2 2" xfId="24955" xr:uid="{00000000-0005-0000-0000-00007B610000}"/>
    <cellStyle name="Normal 30 2 4 3" xfId="24956" xr:uid="{00000000-0005-0000-0000-00007C610000}"/>
    <cellStyle name="Normal 30 2 5" xfId="24957" xr:uid="{00000000-0005-0000-0000-00007D610000}"/>
    <cellStyle name="Normal 30 2 5 2" xfId="24958" xr:uid="{00000000-0005-0000-0000-00007E610000}"/>
    <cellStyle name="Normal 30 2 5 2 2" xfId="24959" xr:uid="{00000000-0005-0000-0000-00007F610000}"/>
    <cellStyle name="Normal 30 2 5 3" xfId="24960" xr:uid="{00000000-0005-0000-0000-000080610000}"/>
    <cellStyle name="Normal 30 2 6" xfId="24961" xr:uid="{00000000-0005-0000-0000-000081610000}"/>
    <cellStyle name="Normal 30 3" xfId="24962" xr:uid="{00000000-0005-0000-0000-000082610000}"/>
    <cellStyle name="Normal 30 3 2" xfId="24963" xr:uid="{00000000-0005-0000-0000-000083610000}"/>
    <cellStyle name="Normal 30 3 2 2" xfId="24964" xr:uid="{00000000-0005-0000-0000-000084610000}"/>
    <cellStyle name="Normal 30 3 3" xfId="24965" xr:uid="{00000000-0005-0000-0000-000085610000}"/>
    <cellStyle name="Normal 30 3 3 2" xfId="24966" xr:uid="{00000000-0005-0000-0000-000086610000}"/>
    <cellStyle name="Normal 30 3 3 2 2" xfId="24967" xr:uid="{00000000-0005-0000-0000-000087610000}"/>
    <cellStyle name="Normal 30 3 3 3" xfId="24968" xr:uid="{00000000-0005-0000-0000-000088610000}"/>
    <cellStyle name="Normal 30 3 4" xfId="24969" xr:uid="{00000000-0005-0000-0000-000089610000}"/>
    <cellStyle name="Normal 30 3 4 2" xfId="24970" xr:uid="{00000000-0005-0000-0000-00008A610000}"/>
    <cellStyle name="Normal 30 3 4 2 2" xfId="24971" xr:uid="{00000000-0005-0000-0000-00008B610000}"/>
    <cellStyle name="Normal 30 3 4 3" xfId="24972" xr:uid="{00000000-0005-0000-0000-00008C610000}"/>
    <cellStyle name="Normal 30 3 5" xfId="24973" xr:uid="{00000000-0005-0000-0000-00008D610000}"/>
    <cellStyle name="Normal 30 4" xfId="24974" xr:uid="{00000000-0005-0000-0000-00008E610000}"/>
    <cellStyle name="Normal 30 4 2" xfId="24975" xr:uid="{00000000-0005-0000-0000-00008F610000}"/>
    <cellStyle name="Normal 30 4 2 2" xfId="24976" xr:uid="{00000000-0005-0000-0000-000090610000}"/>
    <cellStyle name="Normal 30 4 3" xfId="24977" xr:uid="{00000000-0005-0000-0000-000091610000}"/>
    <cellStyle name="Normal 30 5" xfId="24978" xr:uid="{00000000-0005-0000-0000-000092610000}"/>
    <cellStyle name="Normal 30 5 2" xfId="24979" xr:uid="{00000000-0005-0000-0000-000093610000}"/>
    <cellStyle name="Normal 30 5 2 2" xfId="24980" xr:uid="{00000000-0005-0000-0000-000094610000}"/>
    <cellStyle name="Normal 30 5 3" xfId="24981" xr:uid="{00000000-0005-0000-0000-000095610000}"/>
    <cellStyle name="Normal 30 6" xfId="24982" xr:uid="{00000000-0005-0000-0000-000096610000}"/>
    <cellStyle name="Normal 30 6 2" xfId="24983" xr:uid="{00000000-0005-0000-0000-000097610000}"/>
    <cellStyle name="Normal 30 6 2 2" xfId="24984" xr:uid="{00000000-0005-0000-0000-000098610000}"/>
    <cellStyle name="Normal 30 6 3" xfId="24985" xr:uid="{00000000-0005-0000-0000-000099610000}"/>
    <cellStyle name="Normal 30 7" xfId="24986" xr:uid="{00000000-0005-0000-0000-00009A610000}"/>
    <cellStyle name="Normal 300" xfId="24987" xr:uid="{00000000-0005-0000-0000-00009B610000}"/>
    <cellStyle name="Normal 300 2" xfId="24988" xr:uid="{00000000-0005-0000-0000-00009C610000}"/>
    <cellStyle name="Normal 300 2 2" xfId="24989" xr:uid="{00000000-0005-0000-0000-00009D610000}"/>
    <cellStyle name="Normal 300 2 2 2" xfId="24990" xr:uid="{00000000-0005-0000-0000-00009E610000}"/>
    <cellStyle name="Normal 300 2 3" xfId="24991" xr:uid="{00000000-0005-0000-0000-00009F610000}"/>
    <cellStyle name="Normal 300 2 3 2" xfId="24992" xr:uid="{00000000-0005-0000-0000-0000A0610000}"/>
    <cellStyle name="Normal 300 2 3 2 2" xfId="24993" xr:uid="{00000000-0005-0000-0000-0000A1610000}"/>
    <cellStyle name="Normal 300 2 3 3" xfId="24994" xr:uid="{00000000-0005-0000-0000-0000A2610000}"/>
    <cellStyle name="Normal 300 2 4" xfId="24995" xr:uid="{00000000-0005-0000-0000-0000A3610000}"/>
    <cellStyle name="Normal 300 2 4 2" xfId="24996" xr:uid="{00000000-0005-0000-0000-0000A4610000}"/>
    <cellStyle name="Normal 300 2 4 2 2" xfId="24997" xr:uid="{00000000-0005-0000-0000-0000A5610000}"/>
    <cellStyle name="Normal 300 2 4 3" xfId="24998" xr:uid="{00000000-0005-0000-0000-0000A6610000}"/>
    <cellStyle name="Normal 300 2 5" xfId="24999" xr:uid="{00000000-0005-0000-0000-0000A7610000}"/>
    <cellStyle name="Normal 300 3" xfId="25000" xr:uid="{00000000-0005-0000-0000-0000A8610000}"/>
    <cellStyle name="Normal 300 3 2" xfId="25001" xr:uid="{00000000-0005-0000-0000-0000A9610000}"/>
    <cellStyle name="Normal 300 3 2 2" xfId="25002" xr:uid="{00000000-0005-0000-0000-0000AA610000}"/>
    <cellStyle name="Normal 300 3 2 2 2" xfId="25003" xr:uid="{00000000-0005-0000-0000-0000AB610000}"/>
    <cellStyle name="Normal 300 3 2 3" xfId="25004" xr:uid="{00000000-0005-0000-0000-0000AC610000}"/>
    <cellStyle name="Normal 300 3 2 3 2" xfId="25005" xr:uid="{00000000-0005-0000-0000-0000AD610000}"/>
    <cellStyle name="Normal 300 3 2 3 2 2" xfId="25006" xr:uid="{00000000-0005-0000-0000-0000AE610000}"/>
    <cellStyle name="Normal 300 3 2 3 3" xfId="25007" xr:uid="{00000000-0005-0000-0000-0000AF610000}"/>
    <cellStyle name="Normal 300 3 2 4" xfId="25008" xr:uid="{00000000-0005-0000-0000-0000B0610000}"/>
    <cellStyle name="Normal 300 3 3" xfId="25009" xr:uid="{00000000-0005-0000-0000-0000B1610000}"/>
    <cellStyle name="Normal 300 3 3 2" xfId="25010" xr:uid="{00000000-0005-0000-0000-0000B2610000}"/>
    <cellStyle name="Normal 300 3 3 2 2" xfId="25011" xr:uid="{00000000-0005-0000-0000-0000B3610000}"/>
    <cellStyle name="Normal 300 3 3 3" xfId="25012" xr:uid="{00000000-0005-0000-0000-0000B4610000}"/>
    <cellStyle name="Normal 300 3 4" xfId="25013" xr:uid="{00000000-0005-0000-0000-0000B5610000}"/>
    <cellStyle name="Normal 300 3 4 2" xfId="25014" xr:uid="{00000000-0005-0000-0000-0000B6610000}"/>
    <cellStyle name="Normal 300 3 4 2 2" xfId="25015" xr:uid="{00000000-0005-0000-0000-0000B7610000}"/>
    <cellStyle name="Normal 300 3 4 3" xfId="25016" xr:uid="{00000000-0005-0000-0000-0000B8610000}"/>
    <cellStyle name="Normal 300 3 5" xfId="25017" xr:uid="{00000000-0005-0000-0000-0000B9610000}"/>
    <cellStyle name="Normal 300 3 5 2" xfId="25018" xr:uid="{00000000-0005-0000-0000-0000BA610000}"/>
    <cellStyle name="Normal 300 3 5 2 2" xfId="25019" xr:uid="{00000000-0005-0000-0000-0000BB610000}"/>
    <cellStyle name="Normal 300 3 5 3" xfId="25020" xr:uid="{00000000-0005-0000-0000-0000BC610000}"/>
    <cellStyle name="Normal 300 3 6" xfId="25021" xr:uid="{00000000-0005-0000-0000-0000BD610000}"/>
    <cellStyle name="Normal 300 4" xfId="25022" xr:uid="{00000000-0005-0000-0000-0000BE610000}"/>
    <cellStyle name="Normal 300 4 2" xfId="25023" xr:uid="{00000000-0005-0000-0000-0000BF610000}"/>
    <cellStyle name="Normal 300 4 2 2" xfId="25024" xr:uid="{00000000-0005-0000-0000-0000C0610000}"/>
    <cellStyle name="Normal 300 4 3" xfId="25025" xr:uid="{00000000-0005-0000-0000-0000C1610000}"/>
    <cellStyle name="Normal 300 5" xfId="25026" xr:uid="{00000000-0005-0000-0000-0000C2610000}"/>
    <cellStyle name="Normal 300 5 2" xfId="25027" xr:uid="{00000000-0005-0000-0000-0000C3610000}"/>
    <cellStyle name="Normal 300 5 2 2" xfId="25028" xr:uid="{00000000-0005-0000-0000-0000C4610000}"/>
    <cellStyle name="Normal 300 5 3" xfId="25029" xr:uid="{00000000-0005-0000-0000-0000C5610000}"/>
    <cellStyle name="Normal 300 6" xfId="25030" xr:uid="{00000000-0005-0000-0000-0000C6610000}"/>
    <cellStyle name="Normal 300 6 2" xfId="25031" xr:uid="{00000000-0005-0000-0000-0000C7610000}"/>
    <cellStyle name="Normal 300 6 2 2" xfId="25032" xr:uid="{00000000-0005-0000-0000-0000C8610000}"/>
    <cellStyle name="Normal 300 6 3" xfId="25033" xr:uid="{00000000-0005-0000-0000-0000C9610000}"/>
    <cellStyle name="Normal 300 7" xfId="25034" xr:uid="{00000000-0005-0000-0000-0000CA610000}"/>
    <cellStyle name="Normal 301" xfId="25035" xr:uid="{00000000-0005-0000-0000-0000CB610000}"/>
    <cellStyle name="Normal 301 2" xfId="25036" xr:uid="{00000000-0005-0000-0000-0000CC610000}"/>
    <cellStyle name="Normal 301 2 2" xfId="25037" xr:uid="{00000000-0005-0000-0000-0000CD610000}"/>
    <cellStyle name="Normal 301 2 2 2" xfId="25038" xr:uid="{00000000-0005-0000-0000-0000CE610000}"/>
    <cellStyle name="Normal 301 2 3" xfId="25039" xr:uid="{00000000-0005-0000-0000-0000CF610000}"/>
    <cellStyle name="Normal 301 2 3 2" xfId="25040" xr:uid="{00000000-0005-0000-0000-0000D0610000}"/>
    <cellStyle name="Normal 301 2 3 2 2" xfId="25041" xr:uid="{00000000-0005-0000-0000-0000D1610000}"/>
    <cellStyle name="Normal 301 2 3 3" xfId="25042" xr:uid="{00000000-0005-0000-0000-0000D2610000}"/>
    <cellStyle name="Normal 301 2 4" xfId="25043" xr:uid="{00000000-0005-0000-0000-0000D3610000}"/>
    <cellStyle name="Normal 301 2 4 2" xfId="25044" xr:uid="{00000000-0005-0000-0000-0000D4610000}"/>
    <cellStyle name="Normal 301 2 4 2 2" xfId="25045" xr:uid="{00000000-0005-0000-0000-0000D5610000}"/>
    <cellStyle name="Normal 301 2 4 3" xfId="25046" xr:uid="{00000000-0005-0000-0000-0000D6610000}"/>
    <cellStyle name="Normal 301 2 5" xfId="25047" xr:uid="{00000000-0005-0000-0000-0000D7610000}"/>
    <cellStyle name="Normal 301 3" xfId="25048" xr:uid="{00000000-0005-0000-0000-0000D8610000}"/>
    <cellStyle name="Normal 301 3 2" xfId="25049" xr:uid="{00000000-0005-0000-0000-0000D9610000}"/>
    <cellStyle name="Normal 301 3 2 2" xfId="25050" xr:uid="{00000000-0005-0000-0000-0000DA610000}"/>
    <cellStyle name="Normal 301 3 2 2 2" xfId="25051" xr:uid="{00000000-0005-0000-0000-0000DB610000}"/>
    <cellStyle name="Normal 301 3 2 3" xfId="25052" xr:uid="{00000000-0005-0000-0000-0000DC610000}"/>
    <cellStyle name="Normal 301 3 2 3 2" xfId="25053" xr:uid="{00000000-0005-0000-0000-0000DD610000}"/>
    <cellStyle name="Normal 301 3 2 3 2 2" xfId="25054" xr:uid="{00000000-0005-0000-0000-0000DE610000}"/>
    <cellStyle name="Normal 301 3 2 3 3" xfId="25055" xr:uid="{00000000-0005-0000-0000-0000DF610000}"/>
    <cellStyle name="Normal 301 3 2 4" xfId="25056" xr:uid="{00000000-0005-0000-0000-0000E0610000}"/>
    <cellStyle name="Normal 301 3 3" xfId="25057" xr:uid="{00000000-0005-0000-0000-0000E1610000}"/>
    <cellStyle name="Normal 301 3 3 2" xfId="25058" xr:uid="{00000000-0005-0000-0000-0000E2610000}"/>
    <cellStyle name="Normal 301 3 3 2 2" xfId="25059" xr:uid="{00000000-0005-0000-0000-0000E3610000}"/>
    <cellStyle name="Normal 301 3 3 3" xfId="25060" xr:uid="{00000000-0005-0000-0000-0000E4610000}"/>
    <cellStyle name="Normal 301 3 4" xfId="25061" xr:uid="{00000000-0005-0000-0000-0000E5610000}"/>
    <cellStyle name="Normal 301 3 4 2" xfId="25062" xr:uid="{00000000-0005-0000-0000-0000E6610000}"/>
    <cellStyle name="Normal 301 3 4 2 2" xfId="25063" xr:uid="{00000000-0005-0000-0000-0000E7610000}"/>
    <cellStyle name="Normal 301 3 4 3" xfId="25064" xr:uid="{00000000-0005-0000-0000-0000E8610000}"/>
    <cellStyle name="Normal 301 3 5" xfId="25065" xr:uid="{00000000-0005-0000-0000-0000E9610000}"/>
    <cellStyle name="Normal 301 3 5 2" xfId="25066" xr:uid="{00000000-0005-0000-0000-0000EA610000}"/>
    <cellStyle name="Normal 301 3 5 2 2" xfId="25067" xr:uid="{00000000-0005-0000-0000-0000EB610000}"/>
    <cellStyle name="Normal 301 3 5 3" xfId="25068" xr:uid="{00000000-0005-0000-0000-0000EC610000}"/>
    <cellStyle name="Normal 301 3 6" xfId="25069" xr:uid="{00000000-0005-0000-0000-0000ED610000}"/>
    <cellStyle name="Normal 301 4" xfId="25070" xr:uid="{00000000-0005-0000-0000-0000EE610000}"/>
    <cellStyle name="Normal 301 4 2" xfId="25071" xr:uid="{00000000-0005-0000-0000-0000EF610000}"/>
    <cellStyle name="Normal 301 4 2 2" xfId="25072" xr:uid="{00000000-0005-0000-0000-0000F0610000}"/>
    <cellStyle name="Normal 301 4 3" xfId="25073" xr:uid="{00000000-0005-0000-0000-0000F1610000}"/>
    <cellStyle name="Normal 301 5" xfId="25074" xr:uid="{00000000-0005-0000-0000-0000F2610000}"/>
    <cellStyle name="Normal 301 5 2" xfId="25075" xr:uid="{00000000-0005-0000-0000-0000F3610000}"/>
    <cellStyle name="Normal 301 5 2 2" xfId="25076" xr:uid="{00000000-0005-0000-0000-0000F4610000}"/>
    <cellStyle name="Normal 301 5 3" xfId="25077" xr:uid="{00000000-0005-0000-0000-0000F5610000}"/>
    <cellStyle name="Normal 301 6" xfId="25078" xr:uid="{00000000-0005-0000-0000-0000F6610000}"/>
    <cellStyle name="Normal 301 6 2" xfId="25079" xr:uid="{00000000-0005-0000-0000-0000F7610000}"/>
    <cellStyle name="Normal 301 6 2 2" xfId="25080" xr:uid="{00000000-0005-0000-0000-0000F8610000}"/>
    <cellStyle name="Normal 301 6 3" xfId="25081" xr:uid="{00000000-0005-0000-0000-0000F9610000}"/>
    <cellStyle name="Normal 301 7" xfId="25082" xr:uid="{00000000-0005-0000-0000-0000FA610000}"/>
    <cellStyle name="Normal 302" xfId="25083" xr:uid="{00000000-0005-0000-0000-0000FB610000}"/>
    <cellStyle name="Normal 302 2" xfId="25084" xr:uid="{00000000-0005-0000-0000-0000FC610000}"/>
    <cellStyle name="Normal 302 2 2" xfId="25085" xr:uid="{00000000-0005-0000-0000-0000FD610000}"/>
    <cellStyle name="Normal 302 2 2 2" xfId="25086" xr:uid="{00000000-0005-0000-0000-0000FE610000}"/>
    <cellStyle name="Normal 302 2 3" xfId="25087" xr:uid="{00000000-0005-0000-0000-0000FF610000}"/>
    <cellStyle name="Normal 302 2 3 2" xfId="25088" xr:uid="{00000000-0005-0000-0000-000000620000}"/>
    <cellStyle name="Normal 302 2 3 2 2" xfId="25089" xr:uid="{00000000-0005-0000-0000-000001620000}"/>
    <cellStyle name="Normal 302 2 3 3" xfId="25090" xr:uid="{00000000-0005-0000-0000-000002620000}"/>
    <cellStyle name="Normal 302 2 4" xfId="25091" xr:uid="{00000000-0005-0000-0000-000003620000}"/>
    <cellStyle name="Normal 302 2 4 2" xfId="25092" xr:uid="{00000000-0005-0000-0000-000004620000}"/>
    <cellStyle name="Normal 302 2 4 2 2" xfId="25093" xr:uid="{00000000-0005-0000-0000-000005620000}"/>
    <cellStyle name="Normal 302 2 4 3" xfId="25094" xr:uid="{00000000-0005-0000-0000-000006620000}"/>
    <cellStyle name="Normal 302 2 5" xfId="25095" xr:uid="{00000000-0005-0000-0000-000007620000}"/>
    <cellStyle name="Normal 302 3" xfId="25096" xr:uid="{00000000-0005-0000-0000-000008620000}"/>
    <cellStyle name="Normal 302 3 2" xfId="25097" xr:uid="{00000000-0005-0000-0000-000009620000}"/>
    <cellStyle name="Normal 302 3 2 2" xfId="25098" xr:uid="{00000000-0005-0000-0000-00000A620000}"/>
    <cellStyle name="Normal 302 3 2 2 2" xfId="25099" xr:uid="{00000000-0005-0000-0000-00000B620000}"/>
    <cellStyle name="Normal 302 3 2 3" xfId="25100" xr:uid="{00000000-0005-0000-0000-00000C620000}"/>
    <cellStyle name="Normal 302 3 2 3 2" xfId="25101" xr:uid="{00000000-0005-0000-0000-00000D620000}"/>
    <cellStyle name="Normal 302 3 2 3 2 2" xfId="25102" xr:uid="{00000000-0005-0000-0000-00000E620000}"/>
    <cellStyle name="Normal 302 3 2 3 3" xfId="25103" xr:uid="{00000000-0005-0000-0000-00000F620000}"/>
    <cellStyle name="Normal 302 3 2 4" xfId="25104" xr:uid="{00000000-0005-0000-0000-000010620000}"/>
    <cellStyle name="Normal 302 3 3" xfId="25105" xr:uid="{00000000-0005-0000-0000-000011620000}"/>
    <cellStyle name="Normal 302 3 3 2" xfId="25106" xr:uid="{00000000-0005-0000-0000-000012620000}"/>
    <cellStyle name="Normal 302 3 3 2 2" xfId="25107" xr:uid="{00000000-0005-0000-0000-000013620000}"/>
    <cellStyle name="Normal 302 3 3 3" xfId="25108" xr:uid="{00000000-0005-0000-0000-000014620000}"/>
    <cellStyle name="Normal 302 3 4" xfId="25109" xr:uid="{00000000-0005-0000-0000-000015620000}"/>
    <cellStyle name="Normal 302 3 4 2" xfId="25110" xr:uid="{00000000-0005-0000-0000-000016620000}"/>
    <cellStyle name="Normal 302 3 4 2 2" xfId="25111" xr:uid="{00000000-0005-0000-0000-000017620000}"/>
    <cellStyle name="Normal 302 3 4 3" xfId="25112" xr:uid="{00000000-0005-0000-0000-000018620000}"/>
    <cellStyle name="Normal 302 3 5" xfId="25113" xr:uid="{00000000-0005-0000-0000-000019620000}"/>
    <cellStyle name="Normal 302 3 5 2" xfId="25114" xr:uid="{00000000-0005-0000-0000-00001A620000}"/>
    <cellStyle name="Normal 302 3 5 2 2" xfId="25115" xr:uid="{00000000-0005-0000-0000-00001B620000}"/>
    <cellStyle name="Normal 302 3 5 3" xfId="25116" xr:uid="{00000000-0005-0000-0000-00001C620000}"/>
    <cellStyle name="Normal 302 3 6" xfId="25117" xr:uid="{00000000-0005-0000-0000-00001D620000}"/>
    <cellStyle name="Normal 302 4" xfId="25118" xr:uid="{00000000-0005-0000-0000-00001E620000}"/>
    <cellStyle name="Normal 302 4 2" xfId="25119" xr:uid="{00000000-0005-0000-0000-00001F620000}"/>
    <cellStyle name="Normal 302 4 2 2" xfId="25120" xr:uid="{00000000-0005-0000-0000-000020620000}"/>
    <cellStyle name="Normal 302 4 3" xfId="25121" xr:uid="{00000000-0005-0000-0000-000021620000}"/>
    <cellStyle name="Normal 302 5" xfId="25122" xr:uid="{00000000-0005-0000-0000-000022620000}"/>
    <cellStyle name="Normal 302 5 2" xfId="25123" xr:uid="{00000000-0005-0000-0000-000023620000}"/>
    <cellStyle name="Normal 302 5 2 2" xfId="25124" xr:uid="{00000000-0005-0000-0000-000024620000}"/>
    <cellStyle name="Normal 302 5 3" xfId="25125" xr:uid="{00000000-0005-0000-0000-000025620000}"/>
    <cellStyle name="Normal 302 6" xfId="25126" xr:uid="{00000000-0005-0000-0000-000026620000}"/>
    <cellStyle name="Normal 302 6 2" xfId="25127" xr:uid="{00000000-0005-0000-0000-000027620000}"/>
    <cellStyle name="Normal 302 6 2 2" xfId="25128" xr:uid="{00000000-0005-0000-0000-000028620000}"/>
    <cellStyle name="Normal 302 6 3" xfId="25129" xr:uid="{00000000-0005-0000-0000-000029620000}"/>
    <cellStyle name="Normal 302 7" xfId="25130" xr:uid="{00000000-0005-0000-0000-00002A620000}"/>
    <cellStyle name="Normal 303" xfId="25131" xr:uid="{00000000-0005-0000-0000-00002B620000}"/>
    <cellStyle name="Normal 303 2" xfId="25132" xr:uid="{00000000-0005-0000-0000-00002C620000}"/>
    <cellStyle name="Normal 303 2 2" xfId="25133" xr:uid="{00000000-0005-0000-0000-00002D620000}"/>
    <cellStyle name="Normal 303 2 2 2" xfId="25134" xr:uid="{00000000-0005-0000-0000-00002E620000}"/>
    <cellStyle name="Normal 303 2 3" xfId="25135" xr:uid="{00000000-0005-0000-0000-00002F620000}"/>
    <cellStyle name="Normal 303 2 3 2" xfId="25136" xr:uid="{00000000-0005-0000-0000-000030620000}"/>
    <cellStyle name="Normal 303 2 3 2 2" xfId="25137" xr:uid="{00000000-0005-0000-0000-000031620000}"/>
    <cellStyle name="Normal 303 2 3 3" xfId="25138" xr:uid="{00000000-0005-0000-0000-000032620000}"/>
    <cellStyle name="Normal 303 2 4" xfId="25139" xr:uid="{00000000-0005-0000-0000-000033620000}"/>
    <cellStyle name="Normal 303 2 4 2" xfId="25140" xr:uid="{00000000-0005-0000-0000-000034620000}"/>
    <cellStyle name="Normal 303 2 4 2 2" xfId="25141" xr:uid="{00000000-0005-0000-0000-000035620000}"/>
    <cellStyle name="Normal 303 2 4 3" xfId="25142" xr:uid="{00000000-0005-0000-0000-000036620000}"/>
    <cellStyle name="Normal 303 2 5" xfId="25143" xr:uid="{00000000-0005-0000-0000-000037620000}"/>
    <cellStyle name="Normal 303 3" xfId="25144" xr:uid="{00000000-0005-0000-0000-000038620000}"/>
    <cellStyle name="Normal 303 3 2" xfId="25145" xr:uid="{00000000-0005-0000-0000-000039620000}"/>
    <cellStyle name="Normal 303 3 2 2" xfId="25146" xr:uid="{00000000-0005-0000-0000-00003A620000}"/>
    <cellStyle name="Normal 303 3 2 2 2" xfId="25147" xr:uid="{00000000-0005-0000-0000-00003B620000}"/>
    <cellStyle name="Normal 303 3 2 3" xfId="25148" xr:uid="{00000000-0005-0000-0000-00003C620000}"/>
    <cellStyle name="Normal 303 3 2 3 2" xfId="25149" xr:uid="{00000000-0005-0000-0000-00003D620000}"/>
    <cellStyle name="Normal 303 3 2 3 2 2" xfId="25150" xr:uid="{00000000-0005-0000-0000-00003E620000}"/>
    <cellStyle name="Normal 303 3 2 3 3" xfId="25151" xr:uid="{00000000-0005-0000-0000-00003F620000}"/>
    <cellStyle name="Normal 303 3 2 4" xfId="25152" xr:uid="{00000000-0005-0000-0000-000040620000}"/>
    <cellStyle name="Normal 303 3 3" xfId="25153" xr:uid="{00000000-0005-0000-0000-000041620000}"/>
    <cellStyle name="Normal 303 3 3 2" xfId="25154" xr:uid="{00000000-0005-0000-0000-000042620000}"/>
    <cellStyle name="Normal 303 3 3 2 2" xfId="25155" xr:uid="{00000000-0005-0000-0000-000043620000}"/>
    <cellStyle name="Normal 303 3 3 3" xfId="25156" xr:uid="{00000000-0005-0000-0000-000044620000}"/>
    <cellStyle name="Normal 303 3 4" xfId="25157" xr:uid="{00000000-0005-0000-0000-000045620000}"/>
    <cellStyle name="Normal 303 3 4 2" xfId="25158" xr:uid="{00000000-0005-0000-0000-000046620000}"/>
    <cellStyle name="Normal 303 3 4 2 2" xfId="25159" xr:uid="{00000000-0005-0000-0000-000047620000}"/>
    <cellStyle name="Normal 303 3 4 3" xfId="25160" xr:uid="{00000000-0005-0000-0000-000048620000}"/>
    <cellStyle name="Normal 303 3 5" xfId="25161" xr:uid="{00000000-0005-0000-0000-000049620000}"/>
    <cellStyle name="Normal 303 3 5 2" xfId="25162" xr:uid="{00000000-0005-0000-0000-00004A620000}"/>
    <cellStyle name="Normal 303 3 5 2 2" xfId="25163" xr:uid="{00000000-0005-0000-0000-00004B620000}"/>
    <cellStyle name="Normal 303 3 5 3" xfId="25164" xr:uid="{00000000-0005-0000-0000-00004C620000}"/>
    <cellStyle name="Normal 303 3 6" xfId="25165" xr:uid="{00000000-0005-0000-0000-00004D620000}"/>
    <cellStyle name="Normal 303 4" xfId="25166" xr:uid="{00000000-0005-0000-0000-00004E620000}"/>
    <cellStyle name="Normal 303 4 2" xfId="25167" xr:uid="{00000000-0005-0000-0000-00004F620000}"/>
    <cellStyle name="Normal 303 4 2 2" xfId="25168" xr:uid="{00000000-0005-0000-0000-000050620000}"/>
    <cellStyle name="Normal 303 4 3" xfId="25169" xr:uid="{00000000-0005-0000-0000-000051620000}"/>
    <cellStyle name="Normal 303 5" xfId="25170" xr:uid="{00000000-0005-0000-0000-000052620000}"/>
    <cellStyle name="Normal 303 5 2" xfId="25171" xr:uid="{00000000-0005-0000-0000-000053620000}"/>
    <cellStyle name="Normal 303 5 2 2" xfId="25172" xr:uid="{00000000-0005-0000-0000-000054620000}"/>
    <cellStyle name="Normal 303 5 3" xfId="25173" xr:uid="{00000000-0005-0000-0000-000055620000}"/>
    <cellStyle name="Normal 303 6" xfId="25174" xr:uid="{00000000-0005-0000-0000-000056620000}"/>
    <cellStyle name="Normal 303 6 2" xfId="25175" xr:uid="{00000000-0005-0000-0000-000057620000}"/>
    <cellStyle name="Normal 303 6 2 2" xfId="25176" xr:uid="{00000000-0005-0000-0000-000058620000}"/>
    <cellStyle name="Normal 303 6 3" xfId="25177" xr:uid="{00000000-0005-0000-0000-000059620000}"/>
    <cellStyle name="Normal 303 7" xfId="25178" xr:uid="{00000000-0005-0000-0000-00005A620000}"/>
    <cellStyle name="Normal 304" xfId="25179" xr:uid="{00000000-0005-0000-0000-00005B620000}"/>
    <cellStyle name="Normal 304 2" xfId="25180" xr:uid="{00000000-0005-0000-0000-00005C620000}"/>
    <cellStyle name="Normal 304 2 2" xfId="25181" xr:uid="{00000000-0005-0000-0000-00005D620000}"/>
    <cellStyle name="Normal 304 2 2 2" xfId="25182" xr:uid="{00000000-0005-0000-0000-00005E620000}"/>
    <cellStyle name="Normal 304 2 3" xfId="25183" xr:uid="{00000000-0005-0000-0000-00005F620000}"/>
    <cellStyle name="Normal 304 2 3 2" xfId="25184" xr:uid="{00000000-0005-0000-0000-000060620000}"/>
    <cellStyle name="Normal 304 2 3 2 2" xfId="25185" xr:uid="{00000000-0005-0000-0000-000061620000}"/>
    <cellStyle name="Normal 304 2 3 3" xfId="25186" xr:uid="{00000000-0005-0000-0000-000062620000}"/>
    <cellStyle name="Normal 304 2 4" xfId="25187" xr:uid="{00000000-0005-0000-0000-000063620000}"/>
    <cellStyle name="Normal 304 2 4 2" xfId="25188" xr:uid="{00000000-0005-0000-0000-000064620000}"/>
    <cellStyle name="Normal 304 2 4 2 2" xfId="25189" xr:uid="{00000000-0005-0000-0000-000065620000}"/>
    <cellStyle name="Normal 304 2 4 3" xfId="25190" xr:uid="{00000000-0005-0000-0000-000066620000}"/>
    <cellStyle name="Normal 304 2 5" xfId="25191" xr:uid="{00000000-0005-0000-0000-000067620000}"/>
    <cellStyle name="Normal 304 3" xfId="25192" xr:uid="{00000000-0005-0000-0000-000068620000}"/>
    <cellStyle name="Normal 304 3 2" xfId="25193" xr:uid="{00000000-0005-0000-0000-000069620000}"/>
    <cellStyle name="Normal 304 3 2 2" xfId="25194" xr:uid="{00000000-0005-0000-0000-00006A620000}"/>
    <cellStyle name="Normal 304 3 2 2 2" xfId="25195" xr:uid="{00000000-0005-0000-0000-00006B620000}"/>
    <cellStyle name="Normal 304 3 2 3" xfId="25196" xr:uid="{00000000-0005-0000-0000-00006C620000}"/>
    <cellStyle name="Normal 304 3 2 3 2" xfId="25197" xr:uid="{00000000-0005-0000-0000-00006D620000}"/>
    <cellStyle name="Normal 304 3 2 3 2 2" xfId="25198" xr:uid="{00000000-0005-0000-0000-00006E620000}"/>
    <cellStyle name="Normal 304 3 2 3 3" xfId="25199" xr:uid="{00000000-0005-0000-0000-00006F620000}"/>
    <cellStyle name="Normal 304 3 2 4" xfId="25200" xr:uid="{00000000-0005-0000-0000-000070620000}"/>
    <cellStyle name="Normal 304 3 3" xfId="25201" xr:uid="{00000000-0005-0000-0000-000071620000}"/>
    <cellStyle name="Normal 304 3 3 2" xfId="25202" xr:uid="{00000000-0005-0000-0000-000072620000}"/>
    <cellStyle name="Normal 304 3 3 2 2" xfId="25203" xr:uid="{00000000-0005-0000-0000-000073620000}"/>
    <cellStyle name="Normal 304 3 3 3" xfId="25204" xr:uid="{00000000-0005-0000-0000-000074620000}"/>
    <cellStyle name="Normal 304 3 4" xfId="25205" xr:uid="{00000000-0005-0000-0000-000075620000}"/>
    <cellStyle name="Normal 304 3 4 2" xfId="25206" xr:uid="{00000000-0005-0000-0000-000076620000}"/>
    <cellStyle name="Normal 304 3 4 2 2" xfId="25207" xr:uid="{00000000-0005-0000-0000-000077620000}"/>
    <cellStyle name="Normal 304 3 4 3" xfId="25208" xr:uid="{00000000-0005-0000-0000-000078620000}"/>
    <cellStyle name="Normal 304 3 5" xfId="25209" xr:uid="{00000000-0005-0000-0000-000079620000}"/>
    <cellStyle name="Normal 304 3 5 2" xfId="25210" xr:uid="{00000000-0005-0000-0000-00007A620000}"/>
    <cellStyle name="Normal 304 3 5 2 2" xfId="25211" xr:uid="{00000000-0005-0000-0000-00007B620000}"/>
    <cellStyle name="Normal 304 3 5 3" xfId="25212" xr:uid="{00000000-0005-0000-0000-00007C620000}"/>
    <cellStyle name="Normal 304 3 6" xfId="25213" xr:uid="{00000000-0005-0000-0000-00007D620000}"/>
    <cellStyle name="Normal 304 4" xfId="25214" xr:uid="{00000000-0005-0000-0000-00007E620000}"/>
    <cellStyle name="Normal 304 4 2" xfId="25215" xr:uid="{00000000-0005-0000-0000-00007F620000}"/>
    <cellStyle name="Normal 304 4 2 2" xfId="25216" xr:uid="{00000000-0005-0000-0000-000080620000}"/>
    <cellStyle name="Normal 304 4 3" xfId="25217" xr:uid="{00000000-0005-0000-0000-000081620000}"/>
    <cellStyle name="Normal 304 5" xfId="25218" xr:uid="{00000000-0005-0000-0000-000082620000}"/>
    <cellStyle name="Normal 304 5 2" xfId="25219" xr:uid="{00000000-0005-0000-0000-000083620000}"/>
    <cellStyle name="Normal 304 5 2 2" xfId="25220" xr:uid="{00000000-0005-0000-0000-000084620000}"/>
    <cellStyle name="Normal 304 5 3" xfId="25221" xr:uid="{00000000-0005-0000-0000-000085620000}"/>
    <cellStyle name="Normal 304 6" xfId="25222" xr:uid="{00000000-0005-0000-0000-000086620000}"/>
    <cellStyle name="Normal 304 6 2" xfId="25223" xr:uid="{00000000-0005-0000-0000-000087620000}"/>
    <cellStyle name="Normal 304 6 2 2" xfId="25224" xr:uid="{00000000-0005-0000-0000-000088620000}"/>
    <cellStyle name="Normal 304 6 3" xfId="25225" xr:uid="{00000000-0005-0000-0000-000089620000}"/>
    <cellStyle name="Normal 304 7" xfId="25226" xr:uid="{00000000-0005-0000-0000-00008A620000}"/>
    <cellStyle name="Normal 305" xfId="25227" xr:uid="{00000000-0005-0000-0000-00008B620000}"/>
    <cellStyle name="Normal 305 2" xfId="25228" xr:uid="{00000000-0005-0000-0000-00008C620000}"/>
    <cellStyle name="Normal 305 2 2" xfId="25229" xr:uid="{00000000-0005-0000-0000-00008D620000}"/>
    <cellStyle name="Normal 305 2 2 2" xfId="25230" xr:uid="{00000000-0005-0000-0000-00008E620000}"/>
    <cellStyle name="Normal 305 2 3" xfId="25231" xr:uid="{00000000-0005-0000-0000-00008F620000}"/>
    <cellStyle name="Normal 305 2 3 2" xfId="25232" xr:uid="{00000000-0005-0000-0000-000090620000}"/>
    <cellStyle name="Normal 305 2 3 2 2" xfId="25233" xr:uid="{00000000-0005-0000-0000-000091620000}"/>
    <cellStyle name="Normal 305 2 3 3" xfId="25234" xr:uid="{00000000-0005-0000-0000-000092620000}"/>
    <cellStyle name="Normal 305 2 4" xfId="25235" xr:uid="{00000000-0005-0000-0000-000093620000}"/>
    <cellStyle name="Normal 305 2 4 2" xfId="25236" xr:uid="{00000000-0005-0000-0000-000094620000}"/>
    <cellStyle name="Normal 305 2 4 2 2" xfId="25237" xr:uid="{00000000-0005-0000-0000-000095620000}"/>
    <cellStyle name="Normal 305 2 4 3" xfId="25238" xr:uid="{00000000-0005-0000-0000-000096620000}"/>
    <cellStyle name="Normal 305 2 5" xfId="25239" xr:uid="{00000000-0005-0000-0000-000097620000}"/>
    <cellStyle name="Normal 305 3" xfId="25240" xr:uid="{00000000-0005-0000-0000-000098620000}"/>
    <cellStyle name="Normal 305 3 2" xfId="25241" xr:uid="{00000000-0005-0000-0000-000099620000}"/>
    <cellStyle name="Normal 305 3 2 2" xfId="25242" xr:uid="{00000000-0005-0000-0000-00009A620000}"/>
    <cellStyle name="Normal 305 3 2 2 2" xfId="25243" xr:uid="{00000000-0005-0000-0000-00009B620000}"/>
    <cellStyle name="Normal 305 3 2 3" xfId="25244" xr:uid="{00000000-0005-0000-0000-00009C620000}"/>
    <cellStyle name="Normal 305 3 2 3 2" xfId="25245" xr:uid="{00000000-0005-0000-0000-00009D620000}"/>
    <cellStyle name="Normal 305 3 2 3 2 2" xfId="25246" xr:uid="{00000000-0005-0000-0000-00009E620000}"/>
    <cellStyle name="Normal 305 3 2 3 3" xfId="25247" xr:uid="{00000000-0005-0000-0000-00009F620000}"/>
    <cellStyle name="Normal 305 3 2 4" xfId="25248" xr:uid="{00000000-0005-0000-0000-0000A0620000}"/>
    <cellStyle name="Normal 305 3 3" xfId="25249" xr:uid="{00000000-0005-0000-0000-0000A1620000}"/>
    <cellStyle name="Normal 305 3 3 2" xfId="25250" xr:uid="{00000000-0005-0000-0000-0000A2620000}"/>
    <cellStyle name="Normal 305 3 3 2 2" xfId="25251" xr:uid="{00000000-0005-0000-0000-0000A3620000}"/>
    <cellStyle name="Normal 305 3 3 3" xfId="25252" xr:uid="{00000000-0005-0000-0000-0000A4620000}"/>
    <cellStyle name="Normal 305 3 4" xfId="25253" xr:uid="{00000000-0005-0000-0000-0000A5620000}"/>
    <cellStyle name="Normal 305 3 4 2" xfId="25254" xr:uid="{00000000-0005-0000-0000-0000A6620000}"/>
    <cellStyle name="Normal 305 3 4 2 2" xfId="25255" xr:uid="{00000000-0005-0000-0000-0000A7620000}"/>
    <cellStyle name="Normal 305 3 4 3" xfId="25256" xr:uid="{00000000-0005-0000-0000-0000A8620000}"/>
    <cellStyle name="Normal 305 3 5" xfId="25257" xr:uid="{00000000-0005-0000-0000-0000A9620000}"/>
    <cellStyle name="Normal 305 3 5 2" xfId="25258" xr:uid="{00000000-0005-0000-0000-0000AA620000}"/>
    <cellStyle name="Normal 305 3 5 2 2" xfId="25259" xr:uid="{00000000-0005-0000-0000-0000AB620000}"/>
    <cellStyle name="Normal 305 3 5 3" xfId="25260" xr:uid="{00000000-0005-0000-0000-0000AC620000}"/>
    <cellStyle name="Normal 305 3 6" xfId="25261" xr:uid="{00000000-0005-0000-0000-0000AD620000}"/>
    <cellStyle name="Normal 305 4" xfId="25262" xr:uid="{00000000-0005-0000-0000-0000AE620000}"/>
    <cellStyle name="Normal 305 4 2" xfId="25263" xr:uid="{00000000-0005-0000-0000-0000AF620000}"/>
    <cellStyle name="Normal 305 4 2 2" xfId="25264" xr:uid="{00000000-0005-0000-0000-0000B0620000}"/>
    <cellStyle name="Normal 305 4 3" xfId="25265" xr:uid="{00000000-0005-0000-0000-0000B1620000}"/>
    <cellStyle name="Normal 305 5" xfId="25266" xr:uid="{00000000-0005-0000-0000-0000B2620000}"/>
    <cellStyle name="Normal 305 5 2" xfId="25267" xr:uid="{00000000-0005-0000-0000-0000B3620000}"/>
    <cellStyle name="Normal 305 5 2 2" xfId="25268" xr:uid="{00000000-0005-0000-0000-0000B4620000}"/>
    <cellStyle name="Normal 305 5 3" xfId="25269" xr:uid="{00000000-0005-0000-0000-0000B5620000}"/>
    <cellStyle name="Normal 305 6" xfId="25270" xr:uid="{00000000-0005-0000-0000-0000B6620000}"/>
    <cellStyle name="Normal 305 6 2" xfId="25271" xr:uid="{00000000-0005-0000-0000-0000B7620000}"/>
    <cellStyle name="Normal 305 6 2 2" xfId="25272" xr:uid="{00000000-0005-0000-0000-0000B8620000}"/>
    <cellStyle name="Normal 305 6 3" xfId="25273" xr:uid="{00000000-0005-0000-0000-0000B9620000}"/>
    <cellStyle name="Normal 305 7" xfId="25274" xr:uid="{00000000-0005-0000-0000-0000BA620000}"/>
    <cellStyle name="Normal 306" xfId="25275" xr:uid="{00000000-0005-0000-0000-0000BB620000}"/>
    <cellStyle name="Normal 306 2" xfId="25276" xr:uid="{00000000-0005-0000-0000-0000BC620000}"/>
    <cellStyle name="Normal 306 2 2" xfId="25277" xr:uid="{00000000-0005-0000-0000-0000BD620000}"/>
    <cellStyle name="Normal 306 2 2 2" xfId="25278" xr:uid="{00000000-0005-0000-0000-0000BE620000}"/>
    <cellStyle name="Normal 306 2 3" xfId="25279" xr:uid="{00000000-0005-0000-0000-0000BF620000}"/>
    <cellStyle name="Normal 306 2 3 2" xfId="25280" xr:uid="{00000000-0005-0000-0000-0000C0620000}"/>
    <cellStyle name="Normal 306 2 3 2 2" xfId="25281" xr:uid="{00000000-0005-0000-0000-0000C1620000}"/>
    <cellStyle name="Normal 306 2 3 3" xfId="25282" xr:uid="{00000000-0005-0000-0000-0000C2620000}"/>
    <cellStyle name="Normal 306 2 4" xfId="25283" xr:uid="{00000000-0005-0000-0000-0000C3620000}"/>
    <cellStyle name="Normal 306 2 4 2" xfId="25284" xr:uid="{00000000-0005-0000-0000-0000C4620000}"/>
    <cellStyle name="Normal 306 2 4 2 2" xfId="25285" xr:uid="{00000000-0005-0000-0000-0000C5620000}"/>
    <cellStyle name="Normal 306 2 4 3" xfId="25286" xr:uid="{00000000-0005-0000-0000-0000C6620000}"/>
    <cellStyle name="Normal 306 2 5" xfId="25287" xr:uid="{00000000-0005-0000-0000-0000C7620000}"/>
    <cellStyle name="Normal 306 3" xfId="25288" xr:uid="{00000000-0005-0000-0000-0000C8620000}"/>
    <cellStyle name="Normal 306 3 2" xfId="25289" xr:uid="{00000000-0005-0000-0000-0000C9620000}"/>
    <cellStyle name="Normal 306 3 2 2" xfId="25290" xr:uid="{00000000-0005-0000-0000-0000CA620000}"/>
    <cellStyle name="Normal 306 3 2 2 2" xfId="25291" xr:uid="{00000000-0005-0000-0000-0000CB620000}"/>
    <cellStyle name="Normal 306 3 2 3" xfId="25292" xr:uid="{00000000-0005-0000-0000-0000CC620000}"/>
    <cellStyle name="Normal 306 3 2 3 2" xfId="25293" xr:uid="{00000000-0005-0000-0000-0000CD620000}"/>
    <cellStyle name="Normal 306 3 2 3 2 2" xfId="25294" xr:uid="{00000000-0005-0000-0000-0000CE620000}"/>
    <cellStyle name="Normal 306 3 2 3 3" xfId="25295" xr:uid="{00000000-0005-0000-0000-0000CF620000}"/>
    <cellStyle name="Normal 306 3 2 4" xfId="25296" xr:uid="{00000000-0005-0000-0000-0000D0620000}"/>
    <cellStyle name="Normal 306 3 3" xfId="25297" xr:uid="{00000000-0005-0000-0000-0000D1620000}"/>
    <cellStyle name="Normal 306 3 3 2" xfId="25298" xr:uid="{00000000-0005-0000-0000-0000D2620000}"/>
    <cellStyle name="Normal 306 3 3 2 2" xfId="25299" xr:uid="{00000000-0005-0000-0000-0000D3620000}"/>
    <cellStyle name="Normal 306 3 3 3" xfId="25300" xr:uid="{00000000-0005-0000-0000-0000D4620000}"/>
    <cellStyle name="Normal 306 3 4" xfId="25301" xr:uid="{00000000-0005-0000-0000-0000D5620000}"/>
    <cellStyle name="Normal 306 3 4 2" xfId="25302" xr:uid="{00000000-0005-0000-0000-0000D6620000}"/>
    <cellStyle name="Normal 306 3 4 2 2" xfId="25303" xr:uid="{00000000-0005-0000-0000-0000D7620000}"/>
    <cellStyle name="Normal 306 3 4 3" xfId="25304" xr:uid="{00000000-0005-0000-0000-0000D8620000}"/>
    <cellStyle name="Normal 306 3 5" xfId="25305" xr:uid="{00000000-0005-0000-0000-0000D9620000}"/>
    <cellStyle name="Normal 306 3 5 2" xfId="25306" xr:uid="{00000000-0005-0000-0000-0000DA620000}"/>
    <cellStyle name="Normal 306 3 5 2 2" xfId="25307" xr:uid="{00000000-0005-0000-0000-0000DB620000}"/>
    <cellStyle name="Normal 306 3 5 3" xfId="25308" xr:uid="{00000000-0005-0000-0000-0000DC620000}"/>
    <cellStyle name="Normal 306 3 6" xfId="25309" xr:uid="{00000000-0005-0000-0000-0000DD620000}"/>
    <cellStyle name="Normal 306 4" xfId="25310" xr:uid="{00000000-0005-0000-0000-0000DE620000}"/>
    <cellStyle name="Normal 306 4 2" xfId="25311" xr:uid="{00000000-0005-0000-0000-0000DF620000}"/>
    <cellStyle name="Normal 306 4 2 2" xfId="25312" xr:uid="{00000000-0005-0000-0000-0000E0620000}"/>
    <cellStyle name="Normal 306 4 3" xfId="25313" xr:uid="{00000000-0005-0000-0000-0000E1620000}"/>
    <cellStyle name="Normal 306 5" xfId="25314" xr:uid="{00000000-0005-0000-0000-0000E2620000}"/>
    <cellStyle name="Normal 306 5 2" xfId="25315" xr:uid="{00000000-0005-0000-0000-0000E3620000}"/>
    <cellStyle name="Normal 306 5 2 2" xfId="25316" xr:uid="{00000000-0005-0000-0000-0000E4620000}"/>
    <cellStyle name="Normal 306 5 3" xfId="25317" xr:uid="{00000000-0005-0000-0000-0000E5620000}"/>
    <cellStyle name="Normal 306 6" xfId="25318" xr:uid="{00000000-0005-0000-0000-0000E6620000}"/>
    <cellStyle name="Normal 306 6 2" xfId="25319" xr:uid="{00000000-0005-0000-0000-0000E7620000}"/>
    <cellStyle name="Normal 306 6 2 2" xfId="25320" xr:uid="{00000000-0005-0000-0000-0000E8620000}"/>
    <cellStyle name="Normal 306 6 3" xfId="25321" xr:uid="{00000000-0005-0000-0000-0000E9620000}"/>
    <cellStyle name="Normal 306 7" xfId="25322" xr:uid="{00000000-0005-0000-0000-0000EA620000}"/>
    <cellStyle name="Normal 307" xfId="25323" xr:uid="{00000000-0005-0000-0000-0000EB620000}"/>
    <cellStyle name="Normal 307 2" xfId="25324" xr:uid="{00000000-0005-0000-0000-0000EC620000}"/>
    <cellStyle name="Normal 307 2 2" xfId="25325" xr:uid="{00000000-0005-0000-0000-0000ED620000}"/>
    <cellStyle name="Normal 307 2 2 2" xfId="25326" xr:uid="{00000000-0005-0000-0000-0000EE620000}"/>
    <cellStyle name="Normal 307 2 3" xfId="25327" xr:uid="{00000000-0005-0000-0000-0000EF620000}"/>
    <cellStyle name="Normal 307 2 3 2" xfId="25328" xr:uid="{00000000-0005-0000-0000-0000F0620000}"/>
    <cellStyle name="Normal 307 2 3 2 2" xfId="25329" xr:uid="{00000000-0005-0000-0000-0000F1620000}"/>
    <cellStyle name="Normal 307 2 3 3" xfId="25330" xr:uid="{00000000-0005-0000-0000-0000F2620000}"/>
    <cellStyle name="Normal 307 2 4" xfId="25331" xr:uid="{00000000-0005-0000-0000-0000F3620000}"/>
    <cellStyle name="Normal 307 2 4 2" xfId="25332" xr:uid="{00000000-0005-0000-0000-0000F4620000}"/>
    <cellStyle name="Normal 307 2 4 2 2" xfId="25333" xr:uid="{00000000-0005-0000-0000-0000F5620000}"/>
    <cellStyle name="Normal 307 2 4 3" xfId="25334" xr:uid="{00000000-0005-0000-0000-0000F6620000}"/>
    <cellStyle name="Normal 307 2 5" xfId="25335" xr:uid="{00000000-0005-0000-0000-0000F7620000}"/>
    <cellStyle name="Normal 307 3" xfId="25336" xr:uid="{00000000-0005-0000-0000-0000F8620000}"/>
    <cellStyle name="Normal 307 3 2" xfId="25337" xr:uid="{00000000-0005-0000-0000-0000F9620000}"/>
    <cellStyle name="Normal 307 3 2 2" xfId="25338" xr:uid="{00000000-0005-0000-0000-0000FA620000}"/>
    <cellStyle name="Normal 307 3 2 2 2" xfId="25339" xr:uid="{00000000-0005-0000-0000-0000FB620000}"/>
    <cellStyle name="Normal 307 3 2 3" xfId="25340" xr:uid="{00000000-0005-0000-0000-0000FC620000}"/>
    <cellStyle name="Normal 307 3 2 3 2" xfId="25341" xr:uid="{00000000-0005-0000-0000-0000FD620000}"/>
    <cellStyle name="Normal 307 3 2 3 2 2" xfId="25342" xr:uid="{00000000-0005-0000-0000-0000FE620000}"/>
    <cellStyle name="Normal 307 3 2 3 3" xfId="25343" xr:uid="{00000000-0005-0000-0000-0000FF620000}"/>
    <cellStyle name="Normal 307 3 2 4" xfId="25344" xr:uid="{00000000-0005-0000-0000-000000630000}"/>
    <cellStyle name="Normal 307 3 3" xfId="25345" xr:uid="{00000000-0005-0000-0000-000001630000}"/>
    <cellStyle name="Normal 307 3 3 2" xfId="25346" xr:uid="{00000000-0005-0000-0000-000002630000}"/>
    <cellStyle name="Normal 307 3 3 2 2" xfId="25347" xr:uid="{00000000-0005-0000-0000-000003630000}"/>
    <cellStyle name="Normal 307 3 3 3" xfId="25348" xr:uid="{00000000-0005-0000-0000-000004630000}"/>
    <cellStyle name="Normal 307 3 4" xfId="25349" xr:uid="{00000000-0005-0000-0000-000005630000}"/>
    <cellStyle name="Normal 307 3 4 2" xfId="25350" xr:uid="{00000000-0005-0000-0000-000006630000}"/>
    <cellStyle name="Normal 307 3 4 2 2" xfId="25351" xr:uid="{00000000-0005-0000-0000-000007630000}"/>
    <cellStyle name="Normal 307 3 4 3" xfId="25352" xr:uid="{00000000-0005-0000-0000-000008630000}"/>
    <cellStyle name="Normal 307 3 5" xfId="25353" xr:uid="{00000000-0005-0000-0000-000009630000}"/>
    <cellStyle name="Normal 307 3 5 2" xfId="25354" xr:uid="{00000000-0005-0000-0000-00000A630000}"/>
    <cellStyle name="Normal 307 3 5 2 2" xfId="25355" xr:uid="{00000000-0005-0000-0000-00000B630000}"/>
    <cellStyle name="Normal 307 3 5 3" xfId="25356" xr:uid="{00000000-0005-0000-0000-00000C630000}"/>
    <cellStyle name="Normal 307 3 6" xfId="25357" xr:uid="{00000000-0005-0000-0000-00000D630000}"/>
    <cellStyle name="Normal 307 4" xfId="25358" xr:uid="{00000000-0005-0000-0000-00000E630000}"/>
    <cellStyle name="Normal 307 4 2" xfId="25359" xr:uid="{00000000-0005-0000-0000-00000F630000}"/>
    <cellStyle name="Normal 307 4 2 2" xfId="25360" xr:uid="{00000000-0005-0000-0000-000010630000}"/>
    <cellStyle name="Normal 307 4 3" xfId="25361" xr:uid="{00000000-0005-0000-0000-000011630000}"/>
    <cellStyle name="Normal 307 5" xfId="25362" xr:uid="{00000000-0005-0000-0000-000012630000}"/>
    <cellStyle name="Normal 307 5 2" xfId="25363" xr:uid="{00000000-0005-0000-0000-000013630000}"/>
    <cellStyle name="Normal 307 5 2 2" xfId="25364" xr:uid="{00000000-0005-0000-0000-000014630000}"/>
    <cellStyle name="Normal 307 5 3" xfId="25365" xr:uid="{00000000-0005-0000-0000-000015630000}"/>
    <cellStyle name="Normal 307 6" xfId="25366" xr:uid="{00000000-0005-0000-0000-000016630000}"/>
    <cellStyle name="Normal 307 6 2" xfId="25367" xr:uid="{00000000-0005-0000-0000-000017630000}"/>
    <cellStyle name="Normal 307 6 2 2" xfId="25368" xr:uid="{00000000-0005-0000-0000-000018630000}"/>
    <cellStyle name="Normal 307 6 3" xfId="25369" xr:uid="{00000000-0005-0000-0000-000019630000}"/>
    <cellStyle name="Normal 307 7" xfId="25370" xr:uid="{00000000-0005-0000-0000-00001A630000}"/>
    <cellStyle name="Normal 308" xfId="25371" xr:uid="{00000000-0005-0000-0000-00001B630000}"/>
    <cellStyle name="Normal 308 2" xfId="25372" xr:uid="{00000000-0005-0000-0000-00001C630000}"/>
    <cellStyle name="Normal 308 2 2" xfId="25373" xr:uid="{00000000-0005-0000-0000-00001D630000}"/>
    <cellStyle name="Normal 308 2 2 2" xfId="25374" xr:uid="{00000000-0005-0000-0000-00001E630000}"/>
    <cellStyle name="Normal 308 2 3" xfId="25375" xr:uid="{00000000-0005-0000-0000-00001F630000}"/>
    <cellStyle name="Normal 308 2 3 2" xfId="25376" xr:uid="{00000000-0005-0000-0000-000020630000}"/>
    <cellStyle name="Normal 308 2 3 2 2" xfId="25377" xr:uid="{00000000-0005-0000-0000-000021630000}"/>
    <cellStyle name="Normal 308 2 3 3" xfId="25378" xr:uid="{00000000-0005-0000-0000-000022630000}"/>
    <cellStyle name="Normal 308 2 4" xfId="25379" xr:uid="{00000000-0005-0000-0000-000023630000}"/>
    <cellStyle name="Normal 308 2 4 2" xfId="25380" xr:uid="{00000000-0005-0000-0000-000024630000}"/>
    <cellStyle name="Normal 308 2 4 2 2" xfId="25381" xr:uid="{00000000-0005-0000-0000-000025630000}"/>
    <cellStyle name="Normal 308 2 4 3" xfId="25382" xr:uid="{00000000-0005-0000-0000-000026630000}"/>
    <cellStyle name="Normal 308 2 5" xfId="25383" xr:uid="{00000000-0005-0000-0000-000027630000}"/>
    <cellStyle name="Normal 308 3" xfId="25384" xr:uid="{00000000-0005-0000-0000-000028630000}"/>
    <cellStyle name="Normal 308 3 2" xfId="25385" xr:uid="{00000000-0005-0000-0000-000029630000}"/>
    <cellStyle name="Normal 308 3 2 2" xfId="25386" xr:uid="{00000000-0005-0000-0000-00002A630000}"/>
    <cellStyle name="Normal 308 3 2 2 2" xfId="25387" xr:uid="{00000000-0005-0000-0000-00002B630000}"/>
    <cellStyle name="Normal 308 3 2 3" xfId="25388" xr:uid="{00000000-0005-0000-0000-00002C630000}"/>
    <cellStyle name="Normal 308 3 2 3 2" xfId="25389" xr:uid="{00000000-0005-0000-0000-00002D630000}"/>
    <cellStyle name="Normal 308 3 2 3 2 2" xfId="25390" xr:uid="{00000000-0005-0000-0000-00002E630000}"/>
    <cellStyle name="Normal 308 3 2 3 3" xfId="25391" xr:uid="{00000000-0005-0000-0000-00002F630000}"/>
    <cellStyle name="Normal 308 3 2 4" xfId="25392" xr:uid="{00000000-0005-0000-0000-000030630000}"/>
    <cellStyle name="Normal 308 3 3" xfId="25393" xr:uid="{00000000-0005-0000-0000-000031630000}"/>
    <cellStyle name="Normal 308 3 3 2" xfId="25394" xr:uid="{00000000-0005-0000-0000-000032630000}"/>
    <cellStyle name="Normal 308 3 3 2 2" xfId="25395" xr:uid="{00000000-0005-0000-0000-000033630000}"/>
    <cellStyle name="Normal 308 3 3 3" xfId="25396" xr:uid="{00000000-0005-0000-0000-000034630000}"/>
    <cellStyle name="Normal 308 3 4" xfId="25397" xr:uid="{00000000-0005-0000-0000-000035630000}"/>
    <cellStyle name="Normal 308 3 4 2" xfId="25398" xr:uid="{00000000-0005-0000-0000-000036630000}"/>
    <cellStyle name="Normal 308 3 4 2 2" xfId="25399" xr:uid="{00000000-0005-0000-0000-000037630000}"/>
    <cellStyle name="Normal 308 3 4 3" xfId="25400" xr:uid="{00000000-0005-0000-0000-000038630000}"/>
    <cellStyle name="Normal 308 3 5" xfId="25401" xr:uid="{00000000-0005-0000-0000-000039630000}"/>
    <cellStyle name="Normal 308 3 5 2" xfId="25402" xr:uid="{00000000-0005-0000-0000-00003A630000}"/>
    <cellStyle name="Normal 308 3 5 2 2" xfId="25403" xr:uid="{00000000-0005-0000-0000-00003B630000}"/>
    <cellStyle name="Normal 308 3 5 3" xfId="25404" xr:uid="{00000000-0005-0000-0000-00003C630000}"/>
    <cellStyle name="Normal 308 3 6" xfId="25405" xr:uid="{00000000-0005-0000-0000-00003D630000}"/>
    <cellStyle name="Normal 308 4" xfId="25406" xr:uid="{00000000-0005-0000-0000-00003E630000}"/>
    <cellStyle name="Normal 308 4 2" xfId="25407" xr:uid="{00000000-0005-0000-0000-00003F630000}"/>
    <cellStyle name="Normal 308 4 2 2" xfId="25408" xr:uid="{00000000-0005-0000-0000-000040630000}"/>
    <cellStyle name="Normal 308 4 3" xfId="25409" xr:uid="{00000000-0005-0000-0000-000041630000}"/>
    <cellStyle name="Normal 308 5" xfId="25410" xr:uid="{00000000-0005-0000-0000-000042630000}"/>
    <cellStyle name="Normal 308 5 2" xfId="25411" xr:uid="{00000000-0005-0000-0000-000043630000}"/>
    <cellStyle name="Normal 308 5 2 2" xfId="25412" xr:uid="{00000000-0005-0000-0000-000044630000}"/>
    <cellStyle name="Normal 308 5 3" xfId="25413" xr:uid="{00000000-0005-0000-0000-000045630000}"/>
    <cellStyle name="Normal 308 6" xfId="25414" xr:uid="{00000000-0005-0000-0000-000046630000}"/>
    <cellStyle name="Normal 308 6 2" xfId="25415" xr:uid="{00000000-0005-0000-0000-000047630000}"/>
    <cellStyle name="Normal 308 6 2 2" xfId="25416" xr:uid="{00000000-0005-0000-0000-000048630000}"/>
    <cellStyle name="Normal 308 6 3" xfId="25417" xr:uid="{00000000-0005-0000-0000-000049630000}"/>
    <cellStyle name="Normal 308 7" xfId="25418" xr:uid="{00000000-0005-0000-0000-00004A630000}"/>
    <cellStyle name="Normal 309" xfId="25419" xr:uid="{00000000-0005-0000-0000-00004B630000}"/>
    <cellStyle name="Normal 309 2" xfId="25420" xr:uid="{00000000-0005-0000-0000-00004C630000}"/>
    <cellStyle name="Normal 309 2 2" xfId="25421" xr:uid="{00000000-0005-0000-0000-00004D630000}"/>
    <cellStyle name="Normal 309 2 2 2" xfId="25422" xr:uid="{00000000-0005-0000-0000-00004E630000}"/>
    <cellStyle name="Normal 309 2 3" xfId="25423" xr:uid="{00000000-0005-0000-0000-00004F630000}"/>
    <cellStyle name="Normal 309 2 3 2" xfId="25424" xr:uid="{00000000-0005-0000-0000-000050630000}"/>
    <cellStyle name="Normal 309 2 3 2 2" xfId="25425" xr:uid="{00000000-0005-0000-0000-000051630000}"/>
    <cellStyle name="Normal 309 2 3 3" xfId="25426" xr:uid="{00000000-0005-0000-0000-000052630000}"/>
    <cellStyle name="Normal 309 2 4" xfId="25427" xr:uid="{00000000-0005-0000-0000-000053630000}"/>
    <cellStyle name="Normal 309 2 4 2" xfId="25428" xr:uid="{00000000-0005-0000-0000-000054630000}"/>
    <cellStyle name="Normal 309 2 4 2 2" xfId="25429" xr:uid="{00000000-0005-0000-0000-000055630000}"/>
    <cellStyle name="Normal 309 2 4 3" xfId="25430" xr:uid="{00000000-0005-0000-0000-000056630000}"/>
    <cellStyle name="Normal 309 2 5" xfId="25431" xr:uid="{00000000-0005-0000-0000-000057630000}"/>
    <cellStyle name="Normal 309 3" xfId="25432" xr:uid="{00000000-0005-0000-0000-000058630000}"/>
    <cellStyle name="Normal 309 3 2" xfId="25433" xr:uid="{00000000-0005-0000-0000-000059630000}"/>
    <cellStyle name="Normal 309 3 2 2" xfId="25434" xr:uid="{00000000-0005-0000-0000-00005A630000}"/>
    <cellStyle name="Normal 309 3 2 2 2" xfId="25435" xr:uid="{00000000-0005-0000-0000-00005B630000}"/>
    <cellStyle name="Normal 309 3 2 3" xfId="25436" xr:uid="{00000000-0005-0000-0000-00005C630000}"/>
    <cellStyle name="Normal 309 3 2 3 2" xfId="25437" xr:uid="{00000000-0005-0000-0000-00005D630000}"/>
    <cellStyle name="Normal 309 3 2 3 2 2" xfId="25438" xr:uid="{00000000-0005-0000-0000-00005E630000}"/>
    <cellStyle name="Normal 309 3 2 3 3" xfId="25439" xr:uid="{00000000-0005-0000-0000-00005F630000}"/>
    <cellStyle name="Normal 309 3 2 4" xfId="25440" xr:uid="{00000000-0005-0000-0000-000060630000}"/>
    <cellStyle name="Normal 309 3 3" xfId="25441" xr:uid="{00000000-0005-0000-0000-000061630000}"/>
    <cellStyle name="Normal 309 3 3 2" xfId="25442" xr:uid="{00000000-0005-0000-0000-000062630000}"/>
    <cellStyle name="Normal 309 3 3 2 2" xfId="25443" xr:uid="{00000000-0005-0000-0000-000063630000}"/>
    <cellStyle name="Normal 309 3 3 3" xfId="25444" xr:uid="{00000000-0005-0000-0000-000064630000}"/>
    <cellStyle name="Normal 309 3 4" xfId="25445" xr:uid="{00000000-0005-0000-0000-000065630000}"/>
    <cellStyle name="Normal 309 3 4 2" xfId="25446" xr:uid="{00000000-0005-0000-0000-000066630000}"/>
    <cellStyle name="Normal 309 3 4 2 2" xfId="25447" xr:uid="{00000000-0005-0000-0000-000067630000}"/>
    <cellStyle name="Normal 309 3 4 3" xfId="25448" xr:uid="{00000000-0005-0000-0000-000068630000}"/>
    <cellStyle name="Normal 309 3 5" xfId="25449" xr:uid="{00000000-0005-0000-0000-000069630000}"/>
    <cellStyle name="Normal 309 3 5 2" xfId="25450" xr:uid="{00000000-0005-0000-0000-00006A630000}"/>
    <cellStyle name="Normal 309 3 5 2 2" xfId="25451" xr:uid="{00000000-0005-0000-0000-00006B630000}"/>
    <cellStyle name="Normal 309 3 5 3" xfId="25452" xr:uid="{00000000-0005-0000-0000-00006C630000}"/>
    <cellStyle name="Normal 309 3 6" xfId="25453" xr:uid="{00000000-0005-0000-0000-00006D630000}"/>
    <cellStyle name="Normal 309 4" xfId="25454" xr:uid="{00000000-0005-0000-0000-00006E630000}"/>
    <cellStyle name="Normal 309 4 2" xfId="25455" xr:uid="{00000000-0005-0000-0000-00006F630000}"/>
    <cellStyle name="Normal 309 4 2 2" xfId="25456" xr:uid="{00000000-0005-0000-0000-000070630000}"/>
    <cellStyle name="Normal 309 4 3" xfId="25457" xr:uid="{00000000-0005-0000-0000-000071630000}"/>
    <cellStyle name="Normal 309 5" xfId="25458" xr:uid="{00000000-0005-0000-0000-000072630000}"/>
    <cellStyle name="Normal 309 5 2" xfId="25459" xr:uid="{00000000-0005-0000-0000-000073630000}"/>
    <cellStyle name="Normal 309 5 2 2" xfId="25460" xr:uid="{00000000-0005-0000-0000-000074630000}"/>
    <cellStyle name="Normal 309 5 3" xfId="25461" xr:uid="{00000000-0005-0000-0000-000075630000}"/>
    <cellStyle name="Normal 309 6" xfId="25462" xr:uid="{00000000-0005-0000-0000-000076630000}"/>
    <cellStyle name="Normal 309 6 2" xfId="25463" xr:uid="{00000000-0005-0000-0000-000077630000}"/>
    <cellStyle name="Normal 309 6 2 2" xfId="25464" xr:uid="{00000000-0005-0000-0000-000078630000}"/>
    <cellStyle name="Normal 309 6 3" xfId="25465" xr:uid="{00000000-0005-0000-0000-000079630000}"/>
    <cellStyle name="Normal 309 7" xfId="25466" xr:uid="{00000000-0005-0000-0000-00007A630000}"/>
    <cellStyle name="Normal 31" xfId="12" xr:uid="{00000000-0005-0000-0000-00000C000000}"/>
    <cellStyle name="Normal 31 2" xfId="25467" xr:uid="{00000000-0005-0000-0000-00007B630000}"/>
    <cellStyle name="Normal 31 2 2" xfId="25468" xr:uid="{00000000-0005-0000-0000-00007C630000}"/>
    <cellStyle name="Normal 31 2 2 2" xfId="25469" xr:uid="{00000000-0005-0000-0000-00007D630000}"/>
    <cellStyle name="Normal 31 2 2 2 2" xfId="25470" xr:uid="{00000000-0005-0000-0000-00007E630000}"/>
    <cellStyle name="Normal 31 2 2 3" xfId="25471" xr:uid="{00000000-0005-0000-0000-00007F630000}"/>
    <cellStyle name="Normal 31 2 2 3 2" xfId="25472" xr:uid="{00000000-0005-0000-0000-000080630000}"/>
    <cellStyle name="Normal 31 2 2 3 2 2" xfId="25473" xr:uid="{00000000-0005-0000-0000-000081630000}"/>
    <cellStyle name="Normal 31 2 2 3 3" xfId="25474" xr:uid="{00000000-0005-0000-0000-000082630000}"/>
    <cellStyle name="Normal 31 2 2 4" xfId="25475" xr:uid="{00000000-0005-0000-0000-000083630000}"/>
    <cellStyle name="Normal 31 2 2 4 2" xfId="25476" xr:uid="{00000000-0005-0000-0000-000084630000}"/>
    <cellStyle name="Normal 31 2 2 4 2 2" xfId="25477" xr:uid="{00000000-0005-0000-0000-000085630000}"/>
    <cellStyle name="Normal 31 2 2 4 3" xfId="25478" xr:uid="{00000000-0005-0000-0000-000086630000}"/>
    <cellStyle name="Normal 31 2 2 5" xfId="25479" xr:uid="{00000000-0005-0000-0000-000087630000}"/>
    <cellStyle name="Normal 31 2 3" xfId="25480" xr:uid="{00000000-0005-0000-0000-000088630000}"/>
    <cellStyle name="Normal 31 2 3 2" xfId="25481" xr:uid="{00000000-0005-0000-0000-000089630000}"/>
    <cellStyle name="Normal 31 2 3 2 2" xfId="25482" xr:uid="{00000000-0005-0000-0000-00008A630000}"/>
    <cellStyle name="Normal 31 2 3 3" xfId="25483" xr:uid="{00000000-0005-0000-0000-00008B630000}"/>
    <cellStyle name="Normal 31 2 4" xfId="25484" xr:uid="{00000000-0005-0000-0000-00008C630000}"/>
    <cellStyle name="Normal 31 2 4 2" xfId="25485" xr:uid="{00000000-0005-0000-0000-00008D630000}"/>
    <cellStyle name="Normal 31 2 4 2 2" xfId="25486" xr:uid="{00000000-0005-0000-0000-00008E630000}"/>
    <cellStyle name="Normal 31 2 4 3" xfId="25487" xr:uid="{00000000-0005-0000-0000-00008F630000}"/>
    <cellStyle name="Normal 31 2 5" xfId="25488" xr:uid="{00000000-0005-0000-0000-000090630000}"/>
    <cellStyle name="Normal 31 2 5 2" xfId="25489" xr:uid="{00000000-0005-0000-0000-000091630000}"/>
    <cellStyle name="Normal 31 2 5 2 2" xfId="25490" xr:uid="{00000000-0005-0000-0000-000092630000}"/>
    <cellStyle name="Normal 31 2 5 3" xfId="25491" xr:uid="{00000000-0005-0000-0000-000093630000}"/>
    <cellStyle name="Normal 31 2 6" xfId="25492" xr:uid="{00000000-0005-0000-0000-000094630000}"/>
    <cellStyle name="Normal 31 3" xfId="25493" xr:uid="{00000000-0005-0000-0000-000095630000}"/>
    <cellStyle name="Normal 31 3 2" xfId="25494" xr:uid="{00000000-0005-0000-0000-000096630000}"/>
    <cellStyle name="Normal 31 3 2 2" xfId="25495" xr:uid="{00000000-0005-0000-0000-000097630000}"/>
    <cellStyle name="Normal 31 3 3" xfId="25496" xr:uid="{00000000-0005-0000-0000-000098630000}"/>
    <cellStyle name="Normal 31 3 3 2" xfId="25497" xr:uid="{00000000-0005-0000-0000-000099630000}"/>
    <cellStyle name="Normal 31 3 3 2 2" xfId="25498" xr:uid="{00000000-0005-0000-0000-00009A630000}"/>
    <cellStyle name="Normal 31 3 3 3" xfId="25499" xr:uid="{00000000-0005-0000-0000-00009B630000}"/>
    <cellStyle name="Normal 31 3 4" xfId="25500" xr:uid="{00000000-0005-0000-0000-00009C630000}"/>
    <cellStyle name="Normal 31 3 4 2" xfId="25501" xr:uid="{00000000-0005-0000-0000-00009D630000}"/>
    <cellStyle name="Normal 31 3 4 2 2" xfId="25502" xr:uid="{00000000-0005-0000-0000-00009E630000}"/>
    <cellStyle name="Normal 31 3 4 3" xfId="25503" xr:uid="{00000000-0005-0000-0000-00009F630000}"/>
    <cellStyle name="Normal 31 3 5" xfId="25504" xr:uid="{00000000-0005-0000-0000-0000A0630000}"/>
    <cellStyle name="Normal 31 4" xfId="25505" xr:uid="{00000000-0005-0000-0000-0000A1630000}"/>
    <cellStyle name="Normal 31 4 2" xfId="25506" xr:uid="{00000000-0005-0000-0000-0000A2630000}"/>
    <cellStyle name="Normal 31 4 2 2" xfId="25507" xr:uid="{00000000-0005-0000-0000-0000A3630000}"/>
    <cellStyle name="Normal 31 4 3" xfId="25508" xr:uid="{00000000-0005-0000-0000-0000A4630000}"/>
    <cellStyle name="Normal 31 5" xfId="25509" xr:uid="{00000000-0005-0000-0000-0000A5630000}"/>
    <cellStyle name="Normal 31 5 2" xfId="25510" xr:uid="{00000000-0005-0000-0000-0000A6630000}"/>
    <cellStyle name="Normal 31 5 2 2" xfId="25511" xr:uid="{00000000-0005-0000-0000-0000A7630000}"/>
    <cellStyle name="Normal 31 5 3" xfId="25512" xr:uid="{00000000-0005-0000-0000-0000A8630000}"/>
    <cellStyle name="Normal 31 6" xfId="25513" xr:uid="{00000000-0005-0000-0000-0000A9630000}"/>
    <cellStyle name="Normal 31 6 2" xfId="25514" xr:uid="{00000000-0005-0000-0000-0000AA630000}"/>
    <cellStyle name="Normal 31 6 2 2" xfId="25515" xr:uid="{00000000-0005-0000-0000-0000AB630000}"/>
    <cellStyle name="Normal 31 6 3" xfId="25516" xr:uid="{00000000-0005-0000-0000-0000AC630000}"/>
    <cellStyle name="Normal 31 7" xfId="25517" xr:uid="{00000000-0005-0000-0000-0000AD630000}"/>
    <cellStyle name="Normal 310" xfId="25518" xr:uid="{00000000-0005-0000-0000-0000AE630000}"/>
    <cellStyle name="Normal 310 2" xfId="25519" xr:uid="{00000000-0005-0000-0000-0000AF630000}"/>
    <cellStyle name="Normal 310 2 2" xfId="25520" xr:uid="{00000000-0005-0000-0000-0000B0630000}"/>
    <cellStyle name="Normal 310 2 2 2" xfId="25521" xr:uid="{00000000-0005-0000-0000-0000B1630000}"/>
    <cellStyle name="Normal 310 2 3" xfId="25522" xr:uid="{00000000-0005-0000-0000-0000B2630000}"/>
    <cellStyle name="Normal 310 2 3 2" xfId="25523" xr:uid="{00000000-0005-0000-0000-0000B3630000}"/>
    <cellStyle name="Normal 310 2 3 2 2" xfId="25524" xr:uid="{00000000-0005-0000-0000-0000B4630000}"/>
    <cellStyle name="Normal 310 2 3 3" xfId="25525" xr:uid="{00000000-0005-0000-0000-0000B5630000}"/>
    <cellStyle name="Normal 310 2 4" xfId="25526" xr:uid="{00000000-0005-0000-0000-0000B6630000}"/>
    <cellStyle name="Normal 310 2 4 2" xfId="25527" xr:uid="{00000000-0005-0000-0000-0000B7630000}"/>
    <cellStyle name="Normal 310 2 4 2 2" xfId="25528" xr:uid="{00000000-0005-0000-0000-0000B8630000}"/>
    <cellStyle name="Normal 310 2 4 3" xfId="25529" xr:uid="{00000000-0005-0000-0000-0000B9630000}"/>
    <cellStyle name="Normal 310 2 5" xfId="25530" xr:uid="{00000000-0005-0000-0000-0000BA630000}"/>
    <cellStyle name="Normal 310 3" xfId="25531" xr:uid="{00000000-0005-0000-0000-0000BB630000}"/>
    <cellStyle name="Normal 310 3 2" xfId="25532" xr:uid="{00000000-0005-0000-0000-0000BC630000}"/>
    <cellStyle name="Normal 310 3 2 2" xfId="25533" xr:uid="{00000000-0005-0000-0000-0000BD630000}"/>
    <cellStyle name="Normal 310 3 2 2 2" xfId="25534" xr:uid="{00000000-0005-0000-0000-0000BE630000}"/>
    <cellStyle name="Normal 310 3 2 3" xfId="25535" xr:uid="{00000000-0005-0000-0000-0000BF630000}"/>
    <cellStyle name="Normal 310 3 2 3 2" xfId="25536" xr:uid="{00000000-0005-0000-0000-0000C0630000}"/>
    <cellStyle name="Normal 310 3 2 3 2 2" xfId="25537" xr:uid="{00000000-0005-0000-0000-0000C1630000}"/>
    <cellStyle name="Normal 310 3 2 3 3" xfId="25538" xr:uid="{00000000-0005-0000-0000-0000C2630000}"/>
    <cellStyle name="Normal 310 3 2 4" xfId="25539" xr:uid="{00000000-0005-0000-0000-0000C3630000}"/>
    <cellStyle name="Normal 310 3 3" xfId="25540" xr:uid="{00000000-0005-0000-0000-0000C4630000}"/>
    <cellStyle name="Normal 310 3 3 2" xfId="25541" xr:uid="{00000000-0005-0000-0000-0000C5630000}"/>
    <cellStyle name="Normal 310 3 3 2 2" xfId="25542" xr:uid="{00000000-0005-0000-0000-0000C6630000}"/>
    <cellStyle name="Normal 310 3 3 3" xfId="25543" xr:uid="{00000000-0005-0000-0000-0000C7630000}"/>
    <cellStyle name="Normal 310 3 4" xfId="25544" xr:uid="{00000000-0005-0000-0000-0000C8630000}"/>
    <cellStyle name="Normal 310 3 4 2" xfId="25545" xr:uid="{00000000-0005-0000-0000-0000C9630000}"/>
    <cellStyle name="Normal 310 3 4 2 2" xfId="25546" xr:uid="{00000000-0005-0000-0000-0000CA630000}"/>
    <cellStyle name="Normal 310 3 4 3" xfId="25547" xr:uid="{00000000-0005-0000-0000-0000CB630000}"/>
    <cellStyle name="Normal 310 3 5" xfId="25548" xr:uid="{00000000-0005-0000-0000-0000CC630000}"/>
    <cellStyle name="Normal 310 3 5 2" xfId="25549" xr:uid="{00000000-0005-0000-0000-0000CD630000}"/>
    <cellStyle name="Normal 310 3 5 2 2" xfId="25550" xr:uid="{00000000-0005-0000-0000-0000CE630000}"/>
    <cellStyle name="Normal 310 3 5 3" xfId="25551" xr:uid="{00000000-0005-0000-0000-0000CF630000}"/>
    <cellStyle name="Normal 310 3 6" xfId="25552" xr:uid="{00000000-0005-0000-0000-0000D0630000}"/>
    <cellStyle name="Normal 310 4" xfId="25553" xr:uid="{00000000-0005-0000-0000-0000D1630000}"/>
    <cellStyle name="Normal 310 4 2" xfId="25554" xr:uid="{00000000-0005-0000-0000-0000D2630000}"/>
    <cellStyle name="Normal 310 4 2 2" xfId="25555" xr:uid="{00000000-0005-0000-0000-0000D3630000}"/>
    <cellStyle name="Normal 310 4 3" xfId="25556" xr:uid="{00000000-0005-0000-0000-0000D4630000}"/>
    <cellStyle name="Normal 310 5" xfId="25557" xr:uid="{00000000-0005-0000-0000-0000D5630000}"/>
    <cellStyle name="Normal 310 5 2" xfId="25558" xr:uid="{00000000-0005-0000-0000-0000D6630000}"/>
    <cellStyle name="Normal 310 5 2 2" xfId="25559" xr:uid="{00000000-0005-0000-0000-0000D7630000}"/>
    <cellStyle name="Normal 310 5 3" xfId="25560" xr:uid="{00000000-0005-0000-0000-0000D8630000}"/>
    <cellStyle name="Normal 310 6" xfId="25561" xr:uid="{00000000-0005-0000-0000-0000D9630000}"/>
    <cellStyle name="Normal 310 6 2" xfId="25562" xr:uid="{00000000-0005-0000-0000-0000DA630000}"/>
    <cellStyle name="Normal 310 6 2 2" xfId="25563" xr:uid="{00000000-0005-0000-0000-0000DB630000}"/>
    <cellStyle name="Normal 310 6 3" xfId="25564" xr:uid="{00000000-0005-0000-0000-0000DC630000}"/>
    <cellStyle name="Normal 310 7" xfId="25565" xr:uid="{00000000-0005-0000-0000-0000DD630000}"/>
    <cellStyle name="Normal 311" xfId="25566" xr:uid="{00000000-0005-0000-0000-0000DE630000}"/>
    <cellStyle name="Normal 311 2" xfId="25567" xr:uid="{00000000-0005-0000-0000-0000DF630000}"/>
    <cellStyle name="Normal 311 2 2" xfId="25568" xr:uid="{00000000-0005-0000-0000-0000E0630000}"/>
    <cellStyle name="Normal 311 2 2 2" xfId="25569" xr:uid="{00000000-0005-0000-0000-0000E1630000}"/>
    <cellStyle name="Normal 311 2 3" xfId="25570" xr:uid="{00000000-0005-0000-0000-0000E2630000}"/>
    <cellStyle name="Normal 311 2 3 2" xfId="25571" xr:uid="{00000000-0005-0000-0000-0000E3630000}"/>
    <cellStyle name="Normal 311 2 3 2 2" xfId="25572" xr:uid="{00000000-0005-0000-0000-0000E4630000}"/>
    <cellStyle name="Normal 311 2 3 3" xfId="25573" xr:uid="{00000000-0005-0000-0000-0000E5630000}"/>
    <cellStyle name="Normal 311 2 4" xfId="25574" xr:uid="{00000000-0005-0000-0000-0000E6630000}"/>
    <cellStyle name="Normal 311 2 4 2" xfId="25575" xr:uid="{00000000-0005-0000-0000-0000E7630000}"/>
    <cellStyle name="Normal 311 2 4 2 2" xfId="25576" xr:uid="{00000000-0005-0000-0000-0000E8630000}"/>
    <cellStyle name="Normal 311 2 4 3" xfId="25577" xr:uid="{00000000-0005-0000-0000-0000E9630000}"/>
    <cellStyle name="Normal 311 2 5" xfId="25578" xr:uid="{00000000-0005-0000-0000-0000EA630000}"/>
    <cellStyle name="Normal 311 3" xfId="25579" xr:uid="{00000000-0005-0000-0000-0000EB630000}"/>
    <cellStyle name="Normal 311 3 2" xfId="25580" xr:uid="{00000000-0005-0000-0000-0000EC630000}"/>
    <cellStyle name="Normal 311 3 2 2" xfId="25581" xr:uid="{00000000-0005-0000-0000-0000ED630000}"/>
    <cellStyle name="Normal 311 3 2 2 2" xfId="25582" xr:uid="{00000000-0005-0000-0000-0000EE630000}"/>
    <cellStyle name="Normal 311 3 2 3" xfId="25583" xr:uid="{00000000-0005-0000-0000-0000EF630000}"/>
    <cellStyle name="Normal 311 3 2 3 2" xfId="25584" xr:uid="{00000000-0005-0000-0000-0000F0630000}"/>
    <cellStyle name="Normal 311 3 2 3 2 2" xfId="25585" xr:uid="{00000000-0005-0000-0000-0000F1630000}"/>
    <cellStyle name="Normal 311 3 2 3 3" xfId="25586" xr:uid="{00000000-0005-0000-0000-0000F2630000}"/>
    <cellStyle name="Normal 311 3 2 4" xfId="25587" xr:uid="{00000000-0005-0000-0000-0000F3630000}"/>
    <cellStyle name="Normal 311 3 3" xfId="25588" xr:uid="{00000000-0005-0000-0000-0000F4630000}"/>
    <cellStyle name="Normal 311 3 3 2" xfId="25589" xr:uid="{00000000-0005-0000-0000-0000F5630000}"/>
    <cellStyle name="Normal 311 3 3 2 2" xfId="25590" xr:uid="{00000000-0005-0000-0000-0000F6630000}"/>
    <cellStyle name="Normal 311 3 3 3" xfId="25591" xr:uid="{00000000-0005-0000-0000-0000F7630000}"/>
    <cellStyle name="Normal 311 3 4" xfId="25592" xr:uid="{00000000-0005-0000-0000-0000F8630000}"/>
    <cellStyle name="Normal 311 3 4 2" xfId="25593" xr:uid="{00000000-0005-0000-0000-0000F9630000}"/>
    <cellStyle name="Normal 311 3 4 2 2" xfId="25594" xr:uid="{00000000-0005-0000-0000-0000FA630000}"/>
    <cellStyle name="Normal 311 3 4 3" xfId="25595" xr:uid="{00000000-0005-0000-0000-0000FB630000}"/>
    <cellStyle name="Normal 311 3 5" xfId="25596" xr:uid="{00000000-0005-0000-0000-0000FC630000}"/>
    <cellStyle name="Normal 311 3 5 2" xfId="25597" xr:uid="{00000000-0005-0000-0000-0000FD630000}"/>
    <cellStyle name="Normal 311 3 5 2 2" xfId="25598" xr:uid="{00000000-0005-0000-0000-0000FE630000}"/>
    <cellStyle name="Normal 311 3 5 3" xfId="25599" xr:uid="{00000000-0005-0000-0000-0000FF630000}"/>
    <cellStyle name="Normal 311 3 6" xfId="25600" xr:uid="{00000000-0005-0000-0000-000000640000}"/>
    <cellStyle name="Normal 311 4" xfId="25601" xr:uid="{00000000-0005-0000-0000-000001640000}"/>
    <cellStyle name="Normal 311 4 2" xfId="25602" xr:uid="{00000000-0005-0000-0000-000002640000}"/>
    <cellStyle name="Normal 311 4 2 2" xfId="25603" xr:uid="{00000000-0005-0000-0000-000003640000}"/>
    <cellStyle name="Normal 311 4 3" xfId="25604" xr:uid="{00000000-0005-0000-0000-000004640000}"/>
    <cellStyle name="Normal 311 5" xfId="25605" xr:uid="{00000000-0005-0000-0000-000005640000}"/>
    <cellStyle name="Normal 311 5 2" xfId="25606" xr:uid="{00000000-0005-0000-0000-000006640000}"/>
    <cellStyle name="Normal 311 5 2 2" xfId="25607" xr:uid="{00000000-0005-0000-0000-000007640000}"/>
    <cellStyle name="Normal 311 5 3" xfId="25608" xr:uid="{00000000-0005-0000-0000-000008640000}"/>
    <cellStyle name="Normal 311 6" xfId="25609" xr:uid="{00000000-0005-0000-0000-000009640000}"/>
    <cellStyle name="Normal 311 6 2" xfId="25610" xr:uid="{00000000-0005-0000-0000-00000A640000}"/>
    <cellStyle name="Normal 311 6 2 2" xfId="25611" xr:uid="{00000000-0005-0000-0000-00000B640000}"/>
    <cellStyle name="Normal 311 6 3" xfId="25612" xr:uid="{00000000-0005-0000-0000-00000C640000}"/>
    <cellStyle name="Normal 311 7" xfId="25613" xr:uid="{00000000-0005-0000-0000-00000D640000}"/>
    <cellStyle name="Normal 312" xfId="25614" xr:uid="{00000000-0005-0000-0000-00000E640000}"/>
    <cellStyle name="Normal 312 2" xfId="25615" xr:uid="{00000000-0005-0000-0000-00000F640000}"/>
    <cellStyle name="Normal 312 2 2" xfId="25616" xr:uid="{00000000-0005-0000-0000-000010640000}"/>
    <cellStyle name="Normal 312 2 2 2" xfId="25617" xr:uid="{00000000-0005-0000-0000-000011640000}"/>
    <cellStyle name="Normal 312 2 3" xfId="25618" xr:uid="{00000000-0005-0000-0000-000012640000}"/>
    <cellStyle name="Normal 312 2 3 2" xfId="25619" xr:uid="{00000000-0005-0000-0000-000013640000}"/>
    <cellStyle name="Normal 312 2 3 2 2" xfId="25620" xr:uid="{00000000-0005-0000-0000-000014640000}"/>
    <cellStyle name="Normal 312 2 3 3" xfId="25621" xr:uid="{00000000-0005-0000-0000-000015640000}"/>
    <cellStyle name="Normal 312 2 4" xfId="25622" xr:uid="{00000000-0005-0000-0000-000016640000}"/>
    <cellStyle name="Normal 312 2 4 2" xfId="25623" xr:uid="{00000000-0005-0000-0000-000017640000}"/>
    <cellStyle name="Normal 312 2 4 2 2" xfId="25624" xr:uid="{00000000-0005-0000-0000-000018640000}"/>
    <cellStyle name="Normal 312 2 4 3" xfId="25625" xr:uid="{00000000-0005-0000-0000-000019640000}"/>
    <cellStyle name="Normal 312 2 5" xfId="25626" xr:uid="{00000000-0005-0000-0000-00001A640000}"/>
    <cellStyle name="Normal 312 3" xfId="25627" xr:uid="{00000000-0005-0000-0000-00001B640000}"/>
    <cellStyle name="Normal 312 3 2" xfId="25628" xr:uid="{00000000-0005-0000-0000-00001C640000}"/>
    <cellStyle name="Normal 312 3 2 2" xfId="25629" xr:uid="{00000000-0005-0000-0000-00001D640000}"/>
    <cellStyle name="Normal 312 3 2 2 2" xfId="25630" xr:uid="{00000000-0005-0000-0000-00001E640000}"/>
    <cellStyle name="Normal 312 3 2 3" xfId="25631" xr:uid="{00000000-0005-0000-0000-00001F640000}"/>
    <cellStyle name="Normal 312 3 2 3 2" xfId="25632" xr:uid="{00000000-0005-0000-0000-000020640000}"/>
    <cellStyle name="Normal 312 3 2 3 2 2" xfId="25633" xr:uid="{00000000-0005-0000-0000-000021640000}"/>
    <cellStyle name="Normal 312 3 2 3 3" xfId="25634" xr:uid="{00000000-0005-0000-0000-000022640000}"/>
    <cellStyle name="Normal 312 3 2 4" xfId="25635" xr:uid="{00000000-0005-0000-0000-000023640000}"/>
    <cellStyle name="Normal 312 3 3" xfId="25636" xr:uid="{00000000-0005-0000-0000-000024640000}"/>
    <cellStyle name="Normal 312 3 3 2" xfId="25637" xr:uid="{00000000-0005-0000-0000-000025640000}"/>
    <cellStyle name="Normal 312 3 3 2 2" xfId="25638" xr:uid="{00000000-0005-0000-0000-000026640000}"/>
    <cellStyle name="Normal 312 3 3 3" xfId="25639" xr:uid="{00000000-0005-0000-0000-000027640000}"/>
    <cellStyle name="Normal 312 3 4" xfId="25640" xr:uid="{00000000-0005-0000-0000-000028640000}"/>
    <cellStyle name="Normal 312 3 4 2" xfId="25641" xr:uid="{00000000-0005-0000-0000-000029640000}"/>
    <cellStyle name="Normal 312 3 4 2 2" xfId="25642" xr:uid="{00000000-0005-0000-0000-00002A640000}"/>
    <cellStyle name="Normal 312 3 4 3" xfId="25643" xr:uid="{00000000-0005-0000-0000-00002B640000}"/>
    <cellStyle name="Normal 312 3 5" xfId="25644" xr:uid="{00000000-0005-0000-0000-00002C640000}"/>
    <cellStyle name="Normal 312 3 5 2" xfId="25645" xr:uid="{00000000-0005-0000-0000-00002D640000}"/>
    <cellStyle name="Normal 312 3 5 2 2" xfId="25646" xr:uid="{00000000-0005-0000-0000-00002E640000}"/>
    <cellStyle name="Normal 312 3 5 3" xfId="25647" xr:uid="{00000000-0005-0000-0000-00002F640000}"/>
    <cellStyle name="Normal 312 3 6" xfId="25648" xr:uid="{00000000-0005-0000-0000-000030640000}"/>
    <cellStyle name="Normal 312 4" xfId="25649" xr:uid="{00000000-0005-0000-0000-000031640000}"/>
    <cellStyle name="Normal 312 4 2" xfId="25650" xr:uid="{00000000-0005-0000-0000-000032640000}"/>
    <cellStyle name="Normal 312 4 2 2" xfId="25651" xr:uid="{00000000-0005-0000-0000-000033640000}"/>
    <cellStyle name="Normal 312 4 3" xfId="25652" xr:uid="{00000000-0005-0000-0000-000034640000}"/>
    <cellStyle name="Normal 312 5" xfId="25653" xr:uid="{00000000-0005-0000-0000-000035640000}"/>
    <cellStyle name="Normal 312 5 2" xfId="25654" xr:uid="{00000000-0005-0000-0000-000036640000}"/>
    <cellStyle name="Normal 312 5 2 2" xfId="25655" xr:uid="{00000000-0005-0000-0000-000037640000}"/>
    <cellStyle name="Normal 312 5 3" xfId="25656" xr:uid="{00000000-0005-0000-0000-000038640000}"/>
    <cellStyle name="Normal 312 6" xfId="25657" xr:uid="{00000000-0005-0000-0000-000039640000}"/>
    <cellStyle name="Normal 312 6 2" xfId="25658" xr:uid="{00000000-0005-0000-0000-00003A640000}"/>
    <cellStyle name="Normal 312 6 2 2" xfId="25659" xr:uid="{00000000-0005-0000-0000-00003B640000}"/>
    <cellStyle name="Normal 312 6 3" xfId="25660" xr:uid="{00000000-0005-0000-0000-00003C640000}"/>
    <cellStyle name="Normal 312 7" xfId="25661" xr:uid="{00000000-0005-0000-0000-00003D640000}"/>
    <cellStyle name="Normal 313" xfId="25662" xr:uid="{00000000-0005-0000-0000-00003E640000}"/>
    <cellStyle name="Normal 313 2" xfId="25663" xr:uid="{00000000-0005-0000-0000-00003F640000}"/>
    <cellStyle name="Normal 313 2 2" xfId="25664" xr:uid="{00000000-0005-0000-0000-000040640000}"/>
    <cellStyle name="Normal 313 2 2 2" xfId="25665" xr:uid="{00000000-0005-0000-0000-000041640000}"/>
    <cellStyle name="Normal 313 2 3" xfId="25666" xr:uid="{00000000-0005-0000-0000-000042640000}"/>
    <cellStyle name="Normal 313 2 3 2" xfId="25667" xr:uid="{00000000-0005-0000-0000-000043640000}"/>
    <cellStyle name="Normal 313 2 3 2 2" xfId="25668" xr:uid="{00000000-0005-0000-0000-000044640000}"/>
    <cellStyle name="Normal 313 2 3 3" xfId="25669" xr:uid="{00000000-0005-0000-0000-000045640000}"/>
    <cellStyle name="Normal 313 2 4" xfId="25670" xr:uid="{00000000-0005-0000-0000-000046640000}"/>
    <cellStyle name="Normal 313 2 4 2" xfId="25671" xr:uid="{00000000-0005-0000-0000-000047640000}"/>
    <cellStyle name="Normal 313 2 4 2 2" xfId="25672" xr:uid="{00000000-0005-0000-0000-000048640000}"/>
    <cellStyle name="Normal 313 2 4 3" xfId="25673" xr:uid="{00000000-0005-0000-0000-000049640000}"/>
    <cellStyle name="Normal 313 2 5" xfId="25674" xr:uid="{00000000-0005-0000-0000-00004A640000}"/>
    <cellStyle name="Normal 313 3" xfId="25675" xr:uid="{00000000-0005-0000-0000-00004B640000}"/>
    <cellStyle name="Normal 313 3 2" xfId="25676" xr:uid="{00000000-0005-0000-0000-00004C640000}"/>
    <cellStyle name="Normal 313 3 2 2" xfId="25677" xr:uid="{00000000-0005-0000-0000-00004D640000}"/>
    <cellStyle name="Normal 313 3 2 2 2" xfId="25678" xr:uid="{00000000-0005-0000-0000-00004E640000}"/>
    <cellStyle name="Normal 313 3 2 3" xfId="25679" xr:uid="{00000000-0005-0000-0000-00004F640000}"/>
    <cellStyle name="Normal 313 3 2 3 2" xfId="25680" xr:uid="{00000000-0005-0000-0000-000050640000}"/>
    <cellStyle name="Normal 313 3 2 3 2 2" xfId="25681" xr:uid="{00000000-0005-0000-0000-000051640000}"/>
    <cellStyle name="Normal 313 3 2 3 3" xfId="25682" xr:uid="{00000000-0005-0000-0000-000052640000}"/>
    <cellStyle name="Normal 313 3 2 4" xfId="25683" xr:uid="{00000000-0005-0000-0000-000053640000}"/>
    <cellStyle name="Normal 313 3 3" xfId="25684" xr:uid="{00000000-0005-0000-0000-000054640000}"/>
    <cellStyle name="Normal 313 3 3 2" xfId="25685" xr:uid="{00000000-0005-0000-0000-000055640000}"/>
    <cellStyle name="Normal 313 3 3 2 2" xfId="25686" xr:uid="{00000000-0005-0000-0000-000056640000}"/>
    <cellStyle name="Normal 313 3 3 3" xfId="25687" xr:uid="{00000000-0005-0000-0000-000057640000}"/>
    <cellStyle name="Normal 313 3 4" xfId="25688" xr:uid="{00000000-0005-0000-0000-000058640000}"/>
    <cellStyle name="Normal 313 3 4 2" xfId="25689" xr:uid="{00000000-0005-0000-0000-000059640000}"/>
    <cellStyle name="Normal 313 3 4 2 2" xfId="25690" xr:uid="{00000000-0005-0000-0000-00005A640000}"/>
    <cellStyle name="Normal 313 3 4 3" xfId="25691" xr:uid="{00000000-0005-0000-0000-00005B640000}"/>
    <cellStyle name="Normal 313 3 5" xfId="25692" xr:uid="{00000000-0005-0000-0000-00005C640000}"/>
    <cellStyle name="Normal 313 3 5 2" xfId="25693" xr:uid="{00000000-0005-0000-0000-00005D640000}"/>
    <cellStyle name="Normal 313 3 5 2 2" xfId="25694" xr:uid="{00000000-0005-0000-0000-00005E640000}"/>
    <cellStyle name="Normal 313 3 5 3" xfId="25695" xr:uid="{00000000-0005-0000-0000-00005F640000}"/>
    <cellStyle name="Normal 313 3 6" xfId="25696" xr:uid="{00000000-0005-0000-0000-000060640000}"/>
    <cellStyle name="Normal 313 4" xfId="25697" xr:uid="{00000000-0005-0000-0000-000061640000}"/>
    <cellStyle name="Normal 313 4 2" xfId="25698" xr:uid="{00000000-0005-0000-0000-000062640000}"/>
    <cellStyle name="Normal 313 4 2 2" xfId="25699" xr:uid="{00000000-0005-0000-0000-000063640000}"/>
    <cellStyle name="Normal 313 4 3" xfId="25700" xr:uid="{00000000-0005-0000-0000-000064640000}"/>
    <cellStyle name="Normal 313 5" xfId="25701" xr:uid="{00000000-0005-0000-0000-000065640000}"/>
    <cellStyle name="Normal 313 5 2" xfId="25702" xr:uid="{00000000-0005-0000-0000-000066640000}"/>
    <cellStyle name="Normal 313 5 2 2" xfId="25703" xr:uid="{00000000-0005-0000-0000-000067640000}"/>
    <cellStyle name="Normal 313 5 3" xfId="25704" xr:uid="{00000000-0005-0000-0000-000068640000}"/>
    <cellStyle name="Normal 313 6" xfId="25705" xr:uid="{00000000-0005-0000-0000-000069640000}"/>
    <cellStyle name="Normal 313 6 2" xfId="25706" xr:uid="{00000000-0005-0000-0000-00006A640000}"/>
    <cellStyle name="Normal 313 6 2 2" xfId="25707" xr:uid="{00000000-0005-0000-0000-00006B640000}"/>
    <cellStyle name="Normal 313 6 3" xfId="25708" xr:uid="{00000000-0005-0000-0000-00006C640000}"/>
    <cellStyle name="Normal 313 7" xfId="25709" xr:uid="{00000000-0005-0000-0000-00006D640000}"/>
    <cellStyle name="Normal 314" xfId="25710" xr:uid="{00000000-0005-0000-0000-00006E640000}"/>
    <cellStyle name="Normal 314 2" xfId="25711" xr:uid="{00000000-0005-0000-0000-00006F640000}"/>
    <cellStyle name="Normal 314 2 2" xfId="25712" xr:uid="{00000000-0005-0000-0000-000070640000}"/>
    <cellStyle name="Normal 314 2 2 2" xfId="25713" xr:uid="{00000000-0005-0000-0000-000071640000}"/>
    <cellStyle name="Normal 314 2 3" xfId="25714" xr:uid="{00000000-0005-0000-0000-000072640000}"/>
    <cellStyle name="Normal 314 2 3 2" xfId="25715" xr:uid="{00000000-0005-0000-0000-000073640000}"/>
    <cellStyle name="Normal 314 2 3 2 2" xfId="25716" xr:uid="{00000000-0005-0000-0000-000074640000}"/>
    <cellStyle name="Normal 314 2 3 3" xfId="25717" xr:uid="{00000000-0005-0000-0000-000075640000}"/>
    <cellStyle name="Normal 314 2 4" xfId="25718" xr:uid="{00000000-0005-0000-0000-000076640000}"/>
    <cellStyle name="Normal 314 2 4 2" xfId="25719" xr:uid="{00000000-0005-0000-0000-000077640000}"/>
    <cellStyle name="Normal 314 2 4 2 2" xfId="25720" xr:uid="{00000000-0005-0000-0000-000078640000}"/>
    <cellStyle name="Normal 314 2 4 3" xfId="25721" xr:uid="{00000000-0005-0000-0000-000079640000}"/>
    <cellStyle name="Normal 314 2 5" xfId="25722" xr:uid="{00000000-0005-0000-0000-00007A640000}"/>
    <cellStyle name="Normal 314 3" xfId="25723" xr:uid="{00000000-0005-0000-0000-00007B640000}"/>
    <cellStyle name="Normal 314 3 2" xfId="25724" xr:uid="{00000000-0005-0000-0000-00007C640000}"/>
    <cellStyle name="Normal 314 3 2 2" xfId="25725" xr:uid="{00000000-0005-0000-0000-00007D640000}"/>
    <cellStyle name="Normal 314 3 2 2 2" xfId="25726" xr:uid="{00000000-0005-0000-0000-00007E640000}"/>
    <cellStyle name="Normal 314 3 2 3" xfId="25727" xr:uid="{00000000-0005-0000-0000-00007F640000}"/>
    <cellStyle name="Normal 314 3 2 3 2" xfId="25728" xr:uid="{00000000-0005-0000-0000-000080640000}"/>
    <cellStyle name="Normal 314 3 2 3 2 2" xfId="25729" xr:uid="{00000000-0005-0000-0000-000081640000}"/>
    <cellStyle name="Normal 314 3 2 3 3" xfId="25730" xr:uid="{00000000-0005-0000-0000-000082640000}"/>
    <cellStyle name="Normal 314 3 2 4" xfId="25731" xr:uid="{00000000-0005-0000-0000-000083640000}"/>
    <cellStyle name="Normal 314 3 3" xfId="25732" xr:uid="{00000000-0005-0000-0000-000084640000}"/>
    <cellStyle name="Normal 314 3 3 2" xfId="25733" xr:uid="{00000000-0005-0000-0000-000085640000}"/>
    <cellStyle name="Normal 314 3 3 2 2" xfId="25734" xr:uid="{00000000-0005-0000-0000-000086640000}"/>
    <cellStyle name="Normal 314 3 3 3" xfId="25735" xr:uid="{00000000-0005-0000-0000-000087640000}"/>
    <cellStyle name="Normal 314 3 4" xfId="25736" xr:uid="{00000000-0005-0000-0000-000088640000}"/>
    <cellStyle name="Normal 314 3 4 2" xfId="25737" xr:uid="{00000000-0005-0000-0000-000089640000}"/>
    <cellStyle name="Normal 314 3 4 2 2" xfId="25738" xr:uid="{00000000-0005-0000-0000-00008A640000}"/>
    <cellStyle name="Normal 314 3 4 3" xfId="25739" xr:uid="{00000000-0005-0000-0000-00008B640000}"/>
    <cellStyle name="Normal 314 3 5" xfId="25740" xr:uid="{00000000-0005-0000-0000-00008C640000}"/>
    <cellStyle name="Normal 314 3 5 2" xfId="25741" xr:uid="{00000000-0005-0000-0000-00008D640000}"/>
    <cellStyle name="Normal 314 3 5 2 2" xfId="25742" xr:uid="{00000000-0005-0000-0000-00008E640000}"/>
    <cellStyle name="Normal 314 3 5 3" xfId="25743" xr:uid="{00000000-0005-0000-0000-00008F640000}"/>
    <cellStyle name="Normal 314 3 6" xfId="25744" xr:uid="{00000000-0005-0000-0000-000090640000}"/>
    <cellStyle name="Normal 314 4" xfId="25745" xr:uid="{00000000-0005-0000-0000-000091640000}"/>
    <cellStyle name="Normal 314 4 2" xfId="25746" xr:uid="{00000000-0005-0000-0000-000092640000}"/>
    <cellStyle name="Normal 314 4 2 2" xfId="25747" xr:uid="{00000000-0005-0000-0000-000093640000}"/>
    <cellStyle name="Normal 314 4 3" xfId="25748" xr:uid="{00000000-0005-0000-0000-000094640000}"/>
    <cellStyle name="Normal 314 5" xfId="25749" xr:uid="{00000000-0005-0000-0000-000095640000}"/>
    <cellStyle name="Normal 314 5 2" xfId="25750" xr:uid="{00000000-0005-0000-0000-000096640000}"/>
    <cellStyle name="Normal 314 5 2 2" xfId="25751" xr:uid="{00000000-0005-0000-0000-000097640000}"/>
    <cellStyle name="Normal 314 5 3" xfId="25752" xr:uid="{00000000-0005-0000-0000-000098640000}"/>
    <cellStyle name="Normal 314 6" xfId="25753" xr:uid="{00000000-0005-0000-0000-000099640000}"/>
    <cellStyle name="Normal 314 6 2" xfId="25754" xr:uid="{00000000-0005-0000-0000-00009A640000}"/>
    <cellStyle name="Normal 314 6 2 2" xfId="25755" xr:uid="{00000000-0005-0000-0000-00009B640000}"/>
    <cellStyle name="Normal 314 6 3" xfId="25756" xr:uid="{00000000-0005-0000-0000-00009C640000}"/>
    <cellStyle name="Normal 314 7" xfId="25757" xr:uid="{00000000-0005-0000-0000-00009D640000}"/>
    <cellStyle name="Normal 315" xfId="25758" xr:uid="{00000000-0005-0000-0000-00009E640000}"/>
    <cellStyle name="Normal 315 2" xfId="25759" xr:uid="{00000000-0005-0000-0000-00009F640000}"/>
    <cellStyle name="Normal 315 2 2" xfId="25760" xr:uid="{00000000-0005-0000-0000-0000A0640000}"/>
    <cellStyle name="Normal 315 2 2 2" xfId="25761" xr:uid="{00000000-0005-0000-0000-0000A1640000}"/>
    <cellStyle name="Normal 315 2 3" xfId="25762" xr:uid="{00000000-0005-0000-0000-0000A2640000}"/>
    <cellStyle name="Normal 315 2 3 2" xfId="25763" xr:uid="{00000000-0005-0000-0000-0000A3640000}"/>
    <cellStyle name="Normal 315 2 3 2 2" xfId="25764" xr:uid="{00000000-0005-0000-0000-0000A4640000}"/>
    <cellStyle name="Normal 315 2 3 3" xfId="25765" xr:uid="{00000000-0005-0000-0000-0000A5640000}"/>
    <cellStyle name="Normal 315 2 4" xfId="25766" xr:uid="{00000000-0005-0000-0000-0000A6640000}"/>
    <cellStyle name="Normal 315 2 4 2" xfId="25767" xr:uid="{00000000-0005-0000-0000-0000A7640000}"/>
    <cellStyle name="Normal 315 2 4 2 2" xfId="25768" xr:uid="{00000000-0005-0000-0000-0000A8640000}"/>
    <cellStyle name="Normal 315 2 4 3" xfId="25769" xr:uid="{00000000-0005-0000-0000-0000A9640000}"/>
    <cellStyle name="Normal 315 2 5" xfId="25770" xr:uid="{00000000-0005-0000-0000-0000AA640000}"/>
    <cellStyle name="Normal 315 3" xfId="25771" xr:uid="{00000000-0005-0000-0000-0000AB640000}"/>
    <cellStyle name="Normal 315 3 2" xfId="25772" xr:uid="{00000000-0005-0000-0000-0000AC640000}"/>
    <cellStyle name="Normal 315 3 2 2" xfId="25773" xr:uid="{00000000-0005-0000-0000-0000AD640000}"/>
    <cellStyle name="Normal 315 3 2 2 2" xfId="25774" xr:uid="{00000000-0005-0000-0000-0000AE640000}"/>
    <cellStyle name="Normal 315 3 2 3" xfId="25775" xr:uid="{00000000-0005-0000-0000-0000AF640000}"/>
    <cellStyle name="Normal 315 3 2 3 2" xfId="25776" xr:uid="{00000000-0005-0000-0000-0000B0640000}"/>
    <cellStyle name="Normal 315 3 2 3 2 2" xfId="25777" xr:uid="{00000000-0005-0000-0000-0000B1640000}"/>
    <cellStyle name="Normal 315 3 2 3 3" xfId="25778" xr:uid="{00000000-0005-0000-0000-0000B2640000}"/>
    <cellStyle name="Normal 315 3 2 4" xfId="25779" xr:uid="{00000000-0005-0000-0000-0000B3640000}"/>
    <cellStyle name="Normal 315 3 3" xfId="25780" xr:uid="{00000000-0005-0000-0000-0000B4640000}"/>
    <cellStyle name="Normal 315 3 3 2" xfId="25781" xr:uid="{00000000-0005-0000-0000-0000B5640000}"/>
    <cellStyle name="Normal 315 3 3 2 2" xfId="25782" xr:uid="{00000000-0005-0000-0000-0000B6640000}"/>
    <cellStyle name="Normal 315 3 3 3" xfId="25783" xr:uid="{00000000-0005-0000-0000-0000B7640000}"/>
    <cellStyle name="Normal 315 3 4" xfId="25784" xr:uid="{00000000-0005-0000-0000-0000B8640000}"/>
    <cellStyle name="Normal 315 3 4 2" xfId="25785" xr:uid="{00000000-0005-0000-0000-0000B9640000}"/>
    <cellStyle name="Normal 315 3 4 2 2" xfId="25786" xr:uid="{00000000-0005-0000-0000-0000BA640000}"/>
    <cellStyle name="Normal 315 3 4 3" xfId="25787" xr:uid="{00000000-0005-0000-0000-0000BB640000}"/>
    <cellStyle name="Normal 315 3 5" xfId="25788" xr:uid="{00000000-0005-0000-0000-0000BC640000}"/>
    <cellStyle name="Normal 315 3 5 2" xfId="25789" xr:uid="{00000000-0005-0000-0000-0000BD640000}"/>
    <cellStyle name="Normal 315 3 5 2 2" xfId="25790" xr:uid="{00000000-0005-0000-0000-0000BE640000}"/>
    <cellStyle name="Normal 315 3 5 3" xfId="25791" xr:uid="{00000000-0005-0000-0000-0000BF640000}"/>
    <cellStyle name="Normal 315 3 6" xfId="25792" xr:uid="{00000000-0005-0000-0000-0000C0640000}"/>
    <cellStyle name="Normal 315 4" xfId="25793" xr:uid="{00000000-0005-0000-0000-0000C1640000}"/>
    <cellStyle name="Normal 315 4 2" xfId="25794" xr:uid="{00000000-0005-0000-0000-0000C2640000}"/>
    <cellStyle name="Normal 315 4 2 2" xfId="25795" xr:uid="{00000000-0005-0000-0000-0000C3640000}"/>
    <cellStyle name="Normal 315 4 3" xfId="25796" xr:uid="{00000000-0005-0000-0000-0000C4640000}"/>
    <cellStyle name="Normal 315 5" xfId="25797" xr:uid="{00000000-0005-0000-0000-0000C5640000}"/>
    <cellStyle name="Normal 315 5 2" xfId="25798" xr:uid="{00000000-0005-0000-0000-0000C6640000}"/>
    <cellStyle name="Normal 315 5 2 2" xfId="25799" xr:uid="{00000000-0005-0000-0000-0000C7640000}"/>
    <cellStyle name="Normal 315 5 3" xfId="25800" xr:uid="{00000000-0005-0000-0000-0000C8640000}"/>
    <cellStyle name="Normal 315 6" xfId="25801" xr:uid="{00000000-0005-0000-0000-0000C9640000}"/>
    <cellStyle name="Normal 315 6 2" xfId="25802" xr:uid="{00000000-0005-0000-0000-0000CA640000}"/>
    <cellStyle name="Normal 315 6 2 2" xfId="25803" xr:uid="{00000000-0005-0000-0000-0000CB640000}"/>
    <cellStyle name="Normal 315 6 3" xfId="25804" xr:uid="{00000000-0005-0000-0000-0000CC640000}"/>
    <cellStyle name="Normal 315 7" xfId="25805" xr:uid="{00000000-0005-0000-0000-0000CD640000}"/>
    <cellStyle name="Normal 316" xfId="25806" xr:uid="{00000000-0005-0000-0000-0000CE640000}"/>
    <cellStyle name="Normal 316 2" xfId="25807" xr:uid="{00000000-0005-0000-0000-0000CF640000}"/>
    <cellStyle name="Normal 316 2 2" xfId="25808" xr:uid="{00000000-0005-0000-0000-0000D0640000}"/>
    <cellStyle name="Normal 316 2 2 2" xfId="25809" xr:uid="{00000000-0005-0000-0000-0000D1640000}"/>
    <cellStyle name="Normal 316 2 3" xfId="25810" xr:uid="{00000000-0005-0000-0000-0000D2640000}"/>
    <cellStyle name="Normal 316 2 3 2" xfId="25811" xr:uid="{00000000-0005-0000-0000-0000D3640000}"/>
    <cellStyle name="Normal 316 2 3 2 2" xfId="25812" xr:uid="{00000000-0005-0000-0000-0000D4640000}"/>
    <cellStyle name="Normal 316 2 3 3" xfId="25813" xr:uid="{00000000-0005-0000-0000-0000D5640000}"/>
    <cellStyle name="Normal 316 2 4" xfId="25814" xr:uid="{00000000-0005-0000-0000-0000D6640000}"/>
    <cellStyle name="Normal 316 2 4 2" xfId="25815" xr:uid="{00000000-0005-0000-0000-0000D7640000}"/>
    <cellStyle name="Normal 316 2 4 2 2" xfId="25816" xr:uid="{00000000-0005-0000-0000-0000D8640000}"/>
    <cellStyle name="Normal 316 2 4 3" xfId="25817" xr:uid="{00000000-0005-0000-0000-0000D9640000}"/>
    <cellStyle name="Normal 316 2 5" xfId="25818" xr:uid="{00000000-0005-0000-0000-0000DA640000}"/>
    <cellStyle name="Normal 316 3" xfId="25819" xr:uid="{00000000-0005-0000-0000-0000DB640000}"/>
    <cellStyle name="Normal 316 3 2" xfId="25820" xr:uid="{00000000-0005-0000-0000-0000DC640000}"/>
    <cellStyle name="Normal 316 3 2 2" xfId="25821" xr:uid="{00000000-0005-0000-0000-0000DD640000}"/>
    <cellStyle name="Normal 316 3 2 2 2" xfId="25822" xr:uid="{00000000-0005-0000-0000-0000DE640000}"/>
    <cellStyle name="Normal 316 3 2 3" xfId="25823" xr:uid="{00000000-0005-0000-0000-0000DF640000}"/>
    <cellStyle name="Normal 316 3 2 3 2" xfId="25824" xr:uid="{00000000-0005-0000-0000-0000E0640000}"/>
    <cellStyle name="Normal 316 3 2 3 2 2" xfId="25825" xr:uid="{00000000-0005-0000-0000-0000E1640000}"/>
    <cellStyle name="Normal 316 3 2 3 3" xfId="25826" xr:uid="{00000000-0005-0000-0000-0000E2640000}"/>
    <cellStyle name="Normal 316 3 2 4" xfId="25827" xr:uid="{00000000-0005-0000-0000-0000E3640000}"/>
    <cellStyle name="Normal 316 3 3" xfId="25828" xr:uid="{00000000-0005-0000-0000-0000E4640000}"/>
    <cellStyle name="Normal 316 3 3 2" xfId="25829" xr:uid="{00000000-0005-0000-0000-0000E5640000}"/>
    <cellStyle name="Normal 316 3 3 2 2" xfId="25830" xr:uid="{00000000-0005-0000-0000-0000E6640000}"/>
    <cellStyle name="Normal 316 3 3 3" xfId="25831" xr:uid="{00000000-0005-0000-0000-0000E7640000}"/>
    <cellStyle name="Normal 316 3 4" xfId="25832" xr:uid="{00000000-0005-0000-0000-0000E8640000}"/>
    <cellStyle name="Normal 316 3 4 2" xfId="25833" xr:uid="{00000000-0005-0000-0000-0000E9640000}"/>
    <cellStyle name="Normal 316 3 4 2 2" xfId="25834" xr:uid="{00000000-0005-0000-0000-0000EA640000}"/>
    <cellStyle name="Normal 316 3 4 3" xfId="25835" xr:uid="{00000000-0005-0000-0000-0000EB640000}"/>
    <cellStyle name="Normal 316 3 5" xfId="25836" xr:uid="{00000000-0005-0000-0000-0000EC640000}"/>
    <cellStyle name="Normal 316 3 5 2" xfId="25837" xr:uid="{00000000-0005-0000-0000-0000ED640000}"/>
    <cellStyle name="Normal 316 3 5 2 2" xfId="25838" xr:uid="{00000000-0005-0000-0000-0000EE640000}"/>
    <cellStyle name="Normal 316 3 5 3" xfId="25839" xr:uid="{00000000-0005-0000-0000-0000EF640000}"/>
    <cellStyle name="Normal 316 3 6" xfId="25840" xr:uid="{00000000-0005-0000-0000-0000F0640000}"/>
    <cellStyle name="Normal 316 4" xfId="25841" xr:uid="{00000000-0005-0000-0000-0000F1640000}"/>
    <cellStyle name="Normal 316 4 2" xfId="25842" xr:uid="{00000000-0005-0000-0000-0000F2640000}"/>
    <cellStyle name="Normal 316 4 2 2" xfId="25843" xr:uid="{00000000-0005-0000-0000-0000F3640000}"/>
    <cellStyle name="Normal 316 4 3" xfId="25844" xr:uid="{00000000-0005-0000-0000-0000F4640000}"/>
    <cellStyle name="Normal 316 5" xfId="25845" xr:uid="{00000000-0005-0000-0000-0000F5640000}"/>
    <cellStyle name="Normal 316 5 2" xfId="25846" xr:uid="{00000000-0005-0000-0000-0000F6640000}"/>
    <cellStyle name="Normal 316 5 2 2" xfId="25847" xr:uid="{00000000-0005-0000-0000-0000F7640000}"/>
    <cellStyle name="Normal 316 5 3" xfId="25848" xr:uid="{00000000-0005-0000-0000-0000F8640000}"/>
    <cellStyle name="Normal 316 6" xfId="25849" xr:uid="{00000000-0005-0000-0000-0000F9640000}"/>
    <cellStyle name="Normal 316 6 2" xfId="25850" xr:uid="{00000000-0005-0000-0000-0000FA640000}"/>
    <cellStyle name="Normal 316 6 2 2" xfId="25851" xr:uid="{00000000-0005-0000-0000-0000FB640000}"/>
    <cellStyle name="Normal 316 6 3" xfId="25852" xr:uid="{00000000-0005-0000-0000-0000FC640000}"/>
    <cellStyle name="Normal 316 7" xfId="25853" xr:uid="{00000000-0005-0000-0000-0000FD640000}"/>
    <cellStyle name="Normal 317" xfId="25854" xr:uid="{00000000-0005-0000-0000-0000FE640000}"/>
    <cellStyle name="Normal 317 2" xfId="25855" xr:uid="{00000000-0005-0000-0000-0000FF640000}"/>
    <cellStyle name="Normal 317 2 2" xfId="25856" xr:uid="{00000000-0005-0000-0000-000000650000}"/>
    <cellStyle name="Normal 317 2 2 2" xfId="25857" xr:uid="{00000000-0005-0000-0000-000001650000}"/>
    <cellStyle name="Normal 317 2 3" xfId="25858" xr:uid="{00000000-0005-0000-0000-000002650000}"/>
    <cellStyle name="Normal 317 2 3 2" xfId="25859" xr:uid="{00000000-0005-0000-0000-000003650000}"/>
    <cellStyle name="Normal 317 2 3 2 2" xfId="25860" xr:uid="{00000000-0005-0000-0000-000004650000}"/>
    <cellStyle name="Normal 317 2 3 3" xfId="25861" xr:uid="{00000000-0005-0000-0000-000005650000}"/>
    <cellStyle name="Normal 317 2 4" xfId="25862" xr:uid="{00000000-0005-0000-0000-000006650000}"/>
    <cellStyle name="Normal 317 2 4 2" xfId="25863" xr:uid="{00000000-0005-0000-0000-000007650000}"/>
    <cellStyle name="Normal 317 2 4 2 2" xfId="25864" xr:uid="{00000000-0005-0000-0000-000008650000}"/>
    <cellStyle name="Normal 317 2 4 3" xfId="25865" xr:uid="{00000000-0005-0000-0000-000009650000}"/>
    <cellStyle name="Normal 317 2 5" xfId="25866" xr:uid="{00000000-0005-0000-0000-00000A650000}"/>
    <cellStyle name="Normal 317 3" xfId="25867" xr:uid="{00000000-0005-0000-0000-00000B650000}"/>
    <cellStyle name="Normal 317 3 2" xfId="25868" xr:uid="{00000000-0005-0000-0000-00000C650000}"/>
    <cellStyle name="Normal 317 3 2 2" xfId="25869" xr:uid="{00000000-0005-0000-0000-00000D650000}"/>
    <cellStyle name="Normal 317 3 2 2 2" xfId="25870" xr:uid="{00000000-0005-0000-0000-00000E650000}"/>
    <cellStyle name="Normal 317 3 2 3" xfId="25871" xr:uid="{00000000-0005-0000-0000-00000F650000}"/>
    <cellStyle name="Normal 317 3 2 3 2" xfId="25872" xr:uid="{00000000-0005-0000-0000-000010650000}"/>
    <cellStyle name="Normal 317 3 2 3 2 2" xfId="25873" xr:uid="{00000000-0005-0000-0000-000011650000}"/>
    <cellStyle name="Normal 317 3 2 3 3" xfId="25874" xr:uid="{00000000-0005-0000-0000-000012650000}"/>
    <cellStyle name="Normal 317 3 2 4" xfId="25875" xr:uid="{00000000-0005-0000-0000-000013650000}"/>
    <cellStyle name="Normal 317 3 3" xfId="25876" xr:uid="{00000000-0005-0000-0000-000014650000}"/>
    <cellStyle name="Normal 317 3 3 2" xfId="25877" xr:uid="{00000000-0005-0000-0000-000015650000}"/>
    <cellStyle name="Normal 317 3 3 2 2" xfId="25878" xr:uid="{00000000-0005-0000-0000-000016650000}"/>
    <cellStyle name="Normal 317 3 3 3" xfId="25879" xr:uid="{00000000-0005-0000-0000-000017650000}"/>
    <cellStyle name="Normal 317 3 4" xfId="25880" xr:uid="{00000000-0005-0000-0000-000018650000}"/>
    <cellStyle name="Normal 317 3 4 2" xfId="25881" xr:uid="{00000000-0005-0000-0000-000019650000}"/>
    <cellStyle name="Normal 317 3 4 2 2" xfId="25882" xr:uid="{00000000-0005-0000-0000-00001A650000}"/>
    <cellStyle name="Normal 317 3 4 3" xfId="25883" xr:uid="{00000000-0005-0000-0000-00001B650000}"/>
    <cellStyle name="Normal 317 3 5" xfId="25884" xr:uid="{00000000-0005-0000-0000-00001C650000}"/>
    <cellStyle name="Normal 317 3 5 2" xfId="25885" xr:uid="{00000000-0005-0000-0000-00001D650000}"/>
    <cellStyle name="Normal 317 3 5 2 2" xfId="25886" xr:uid="{00000000-0005-0000-0000-00001E650000}"/>
    <cellStyle name="Normal 317 3 5 3" xfId="25887" xr:uid="{00000000-0005-0000-0000-00001F650000}"/>
    <cellStyle name="Normal 317 3 6" xfId="25888" xr:uid="{00000000-0005-0000-0000-000020650000}"/>
    <cellStyle name="Normal 317 4" xfId="25889" xr:uid="{00000000-0005-0000-0000-000021650000}"/>
    <cellStyle name="Normal 317 4 2" xfId="25890" xr:uid="{00000000-0005-0000-0000-000022650000}"/>
    <cellStyle name="Normal 317 4 2 2" xfId="25891" xr:uid="{00000000-0005-0000-0000-000023650000}"/>
    <cellStyle name="Normal 317 4 3" xfId="25892" xr:uid="{00000000-0005-0000-0000-000024650000}"/>
    <cellStyle name="Normal 317 5" xfId="25893" xr:uid="{00000000-0005-0000-0000-000025650000}"/>
    <cellStyle name="Normal 317 5 2" xfId="25894" xr:uid="{00000000-0005-0000-0000-000026650000}"/>
    <cellStyle name="Normal 317 5 2 2" xfId="25895" xr:uid="{00000000-0005-0000-0000-000027650000}"/>
    <cellStyle name="Normal 317 5 3" xfId="25896" xr:uid="{00000000-0005-0000-0000-000028650000}"/>
    <cellStyle name="Normal 317 6" xfId="25897" xr:uid="{00000000-0005-0000-0000-000029650000}"/>
    <cellStyle name="Normal 317 6 2" xfId="25898" xr:uid="{00000000-0005-0000-0000-00002A650000}"/>
    <cellStyle name="Normal 317 6 2 2" xfId="25899" xr:uid="{00000000-0005-0000-0000-00002B650000}"/>
    <cellStyle name="Normal 317 6 3" xfId="25900" xr:uid="{00000000-0005-0000-0000-00002C650000}"/>
    <cellStyle name="Normal 317 7" xfId="25901" xr:uid="{00000000-0005-0000-0000-00002D650000}"/>
    <cellStyle name="Normal 318" xfId="25902" xr:uid="{00000000-0005-0000-0000-00002E650000}"/>
    <cellStyle name="Normal 318 2" xfId="25903" xr:uid="{00000000-0005-0000-0000-00002F650000}"/>
    <cellStyle name="Normal 318 2 2" xfId="25904" xr:uid="{00000000-0005-0000-0000-000030650000}"/>
    <cellStyle name="Normal 318 2 2 2" xfId="25905" xr:uid="{00000000-0005-0000-0000-000031650000}"/>
    <cellStyle name="Normal 318 2 3" xfId="25906" xr:uid="{00000000-0005-0000-0000-000032650000}"/>
    <cellStyle name="Normal 318 2 3 2" xfId="25907" xr:uid="{00000000-0005-0000-0000-000033650000}"/>
    <cellStyle name="Normal 318 2 3 2 2" xfId="25908" xr:uid="{00000000-0005-0000-0000-000034650000}"/>
    <cellStyle name="Normal 318 2 3 3" xfId="25909" xr:uid="{00000000-0005-0000-0000-000035650000}"/>
    <cellStyle name="Normal 318 2 4" xfId="25910" xr:uid="{00000000-0005-0000-0000-000036650000}"/>
    <cellStyle name="Normal 318 2 4 2" xfId="25911" xr:uid="{00000000-0005-0000-0000-000037650000}"/>
    <cellStyle name="Normal 318 2 4 2 2" xfId="25912" xr:uid="{00000000-0005-0000-0000-000038650000}"/>
    <cellStyle name="Normal 318 2 4 3" xfId="25913" xr:uid="{00000000-0005-0000-0000-000039650000}"/>
    <cellStyle name="Normal 318 2 5" xfId="25914" xr:uid="{00000000-0005-0000-0000-00003A650000}"/>
    <cellStyle name="Normal 318 3" xfId="25915" xr:uid="{00000000-0005-0000-0000-00003B650000}"/>
    <cellStyle name="Normal 318 3 2" xfId="25916" xr:uid="{00000000-0005-0000-0000-00003C650000}"/>
    <cellStyle name="Normal 318 3 2 2" xfId="25917" xr:uid="{00000000-0005-0000-0000-00003D650000}"/>
    <cellStyle name="Normal 318 3 2 2 2" xfId="25918" xr:uid="{00000000-0005-0000-0000-00003E650000}"/>
    <cellStyle name="Normal 318 3 2 3" xfId="25919" xr:uid="{00000000-0005-0000-0000-00003F650000}"/>
    <cellStyle name="Normal 318 3 2 3 2" xfId="25920" xr:uid="{00000000-0005-0000-0000-000040650000}"/>
    <cellStyle name="Normal 318 3 2 3 2 2" xfId="25921" xr:uid="{00000000-0005-0000-0000-000041650000}"/>
    <cellStyle name="Normal 318 3 2 3 3" xfId="25922" xr:uid="{00000000-0005-0000-0000-000042650000}"/>
    <cellStyle name="Normal 318 3 2 4" xfId="25923" xr:uid="{00000000-0005-0000-0000-000043650000}"/>
    <cellStyle name="Normal 318 3 3" xfId="25924" xr:uid="{00000000-0005-0000-0000-000044650000}"/>
    <cellStyle name="Normal 318 3 3 2" xfId="25925" xr:uid="{00000000-0005-0000-0000-000045650000}"/>
    <cellStyle name="Normal 318 3 3 2 2" xfId="25926" xr:uid="{00000000-0005-0000-0000-000046650000}"/>
    <cellStyle name="Normal 318 3 3 3" xfId="25927" xr:uid="{00000000-0005-0000-0000-000047650000}"/>
    <cellStyle name="Normal 318 3 4" xfId="25928" xr:uid="{00000000-0005-0000-0000-000048650000}"/>
    <cellStyle name="Normal 318 3 4 2" xfId="25929" xr:uid="{00000000-0005-0000-0000-000049650000}"/>
    <cellStyle name="Normal 318 3 4 2 2" xfId="25930" xr:uid="{00000000-0005-0000-0000-00004A650000}"/>
    <cellStyle name="Normal 318 3 4 3" xfId="25931" xr:uid="{00000000-0005-0000-0000-00004B650000}"/>
    <cellStyle name="Normal 318 3 5" xfId="25932" xr:uid="{00000000-0005-0000-0000-00004C650000}"/>
    <cellStyle name="Normal 318 3 5 2" xfId="25933" xr:uid="{00000000-0005-0000-0000-00004D650000}"/>
    <cellStyle name="Normal 318 3 5 2 2" xfId="25934" xr:uid="{00000000-0005-0000-0000-00004E650000}"/>
    <cellStyle name="Normal 318 3 5 3" xfId="25935" xr:uid="{00000000-0005-0000-0000-00004F650000}"/>
    <cellStyle name="Normal 318 3 6" xfId="25936" xr:uid="{00000000-0005-0000-0000-000050650000}"/>
    <cellStyle name="Normal 318 4" xfId="25937" xr:uid="{00000000-0005-0000-0000-000051650000}"/>
    <cellStyle name="Normal 318 4 2" xfId="25938" xr:uid="{00000000-0005-0000-0000-000052650000}"/>
    <cellStyle name="Normal 318 4 2 2" xfId="25939" xr:uid="{00000000-0005-0000-0000-000053650000}"/>
    <cellStyle name="Normal 318 4 3" xfId="25940" xr:uid="{00000000-0005-0000-0000-000054650000}"/>
    <cellStyle name="Normal 318 5" xfId="25941" xr:uid="{00000000-0005-0000-0000-000055650000}"/>
    <cellStyle name="Normal 318 5 2" xfId="25942" xr:uid="{00000000-0005-0000-0000-000056650000}"/>
    <cellStyle name="Normal 318 5 2 2" xfId="25943" xr:uid="{00000000-0005-0000-0000-000057650000}"/>
    <cellStyle name="Normal 318 5 3" xfId="25944" xr:uid="{00000000-0005-0000-0000-000058650000}"/>
    <cellStyle name="Normal 318 6" xfId="25945" xr:uid="{00000000-0005-0000-0000-000059650000}"/>
    <cellStyle name="Normal 318 6 2" xfId="25946" xr:uid="{00000000-0005-0000-0000-00005A650000}"/>
    <cellStyle name="Normal 318 6 2 2" xfId="25947" xr:uid="{00000000-0005-0000-0000-00005B650000}"/>
    <cellStyle name="Normal 318 6 3" xfId="25948" xr:uid="{00000000-0005-0000-0000-00005C650000}"/>
    <cellStyle name="Normal 318 7" xfId="25949" xr:uid="{00000000-0005-0000-0000-00005D650000}"/>
    <cellStyle name="Normal 319" xfId="25950" xr:uid="{00000000-0005-0000-0000-00005E650000}"/>
    <cellStyle name="Normal 319 2" xfId="25951" xr:uid="{00000000-0005-0000-0000-00005F650000}"/>
    <cellStyle name="Normal 319 2 2" xfId="25952" xr:uid="{00000000-0005-0000-0000-000060650000}"/>
    <cellStyle name="Normal 319 2 2 2" xfId="25953" xr:uid="{00000000-0005-0000-0000-000061650000}"/>
    <cellStyle name="Normal 319 2 3" xfId="25954" xr:uid="{00000000-0005-0000-0000-000062650000}"/>
    <cellStyle name="Normal 319 2 3 2" xfId="25955" xr:uid="{00000000-0005-0000-0000-000063650000}"/>
    <cellStyle name="Normal 319 2 3 2 2" xfId="25956" xr:uid="{00000000-0005-0000-0000-000064650000}"/>
    <cellStyle name="Normal 319 2 3 3" xfId="25957" xr:uid="{00000000-0005-0000-0000-000065650000}"/>
    <cellStyle name="Normal 319 2 4" xfId="25958" xr:uid="{00000000-0005-0000-0000-000066650000}"/>
    <cellStyle name="Normal 319 2 4 2" xfId="25959" xr:uid="{00000000-0005-0000-0000-000067650000}"/>
    <cellStyle name="Normal 319 2 4 2 2" xfId="25960" xr:uid="{00000000-0005-0000-0000-000068650000}"/>
    <cellStyle name="Normal 319 2 4 3" xfId="25961" xr:uid="{00000000-0005-0000-0000-000069650000}"/>
    <cellStyle name="Normal 319 2 5" xfId="25962" xr:uid="{00000000-0005-0000-0000-00006A650000}"/>
    <cellStyle name="Normal 319 3" xfId="25963" xr:uid="{00000000-0005-0000-0000-00006B650000}"/>
    <cellStyle name="Normal 319 3 2" xfId="25964" xr:uid="{00000000-0005-0000-0000-00006C650000}"/>
    <cellStyle name="Normal 319 3 2 2" xfId="25965" xr:uid="{00000000-0005-0000-0000-00006D650000}"/>
    <cellStyle name="Normal 319 3 2 2 2" xfId="25966" xr:uid="{00000000-0005-0000-0000-00006E650000}"/>
    <cellStyle name="Normal 319 3 2 3" xfId="25967" xr:uid="{00000000-0005-0000-0000-00006F650000}"/>
    <cellStyle name="Normal 319 3 2 3 2" xfId="25968" xr:uid="{00000000-0005-0000-0000-000070650000}"/>
    <cellStyle name="Normal 319 3 2 3 2 2" xfId="25969" xr:uid="{00000000-0005-0000-0000-000071650000}"/>
    <cellStyle name="Normal 319 3 2 3 3" xfId="25970" xr:uid="{00000000-0005-0000-0000-000072650000}"/>
    <cellStyle name="Normal 319 3 2 4" xfId="25971" xr:uid="{00000000-0005-0000-0000-000073650000}"/>
    <cellStyle name="Normal 319 3 3" xfId="25972" xr:uid="{00000000-0005-0000-0000-000074650000}"/>
    <cellStyle name="Normal 319 3 3 2" xfId="25973" xr:uid="{00000000-0005-0000-0000-000075650000}"/>
    <cellStyle name="Normal 319 3 3 2 2" xfId="25974" xr:uid="{00000000-0005-0000-0000-000076650000}"/>
    <cellStyle name="Normal 319 3 3 3" xfId="25975" xr:uid="{00000000-0005-0000-0000-000077650000}"/>
    <cellStyle name="Normal 319 3 4" xfId="25976" xr:uid="{00000000-0005-0000-0000-000078650000}"/>
    <cellStyle name="Normal 319 3 4 2" xfId="25977" xr:uid="{00000000-0005-0000-0000-000079650000}"/>
    <cellStyle name="Normal 319 3 4 2 2" xfId="25978" xr:uid="{00000000-0005-0000-0000-00007A650000}"/>
    <cellStyle name="Normal 319 3 4 3" xfId="25979" xr:uid="{00000000-0005-0000-0000-00007B650000}"/>
    <cellStyle name="Normal 319 3 5" xfId="25980" xr:uid="{00000000-0005-0000-0000-00007C650000}"/>
    <cellStyle name="Normal 319 3 5 2" xfId="25981" xr:uid="{00000000-0005-0000-0000-00007D650000}"/>
    <cellStyle name="Normal 319 3 5 2 2" xfId="25982" xr:uid="{00000000-0005-0000-0000-00007E650000}"/>
    <cellStyle name="Normal 319 3 5 3" xfId="25983" xr:uid="{00000000-0005-0000-0000-00007F650000}"/>
    <cellStyle name="Normal 319 3 6" xfId="25984" xr:uid="{00000000-0005-0000-0000-000080650000}"/>
    <cellStyle name="Normal 319 4" xfId="25985" xr:uid="{00000000-0005-0000-0000-000081650000}"/>
    <cellStyle name="Normal 319 4 2" xfId="25986" xr:uid="{00000000-0005-0000-0000-000082650000}"/>
    <cellStyle name="Normal 319 4 2 2" xfId="25987" xr:uid="{00000000-0005-0000-0000-000083650000}"/>
    <cellStyle name="Normal 319 4 3" xfId="25988" xr:uid="{00000000-0005-0000-0000-000084650000}"/>
    <cellStyle name="Normal 319 5" xfId="25989" xr:uid="{00000000-0005-0000-0000-000085650000}"/>
    <cellStyle name="Normal 319 5 2" xfId="25990" xr:uid="{00000000-0005-0000-0000-000086650000}"/>
    <cellStyle name="Normal 319 5 2 2" xfId="25991" xr:uid="{00000000-0005-0000-0000-000087650000}"/>
    <cellStyle name="Normal 319 5 3" xfId="25992" xr:uid="{00000000-0005-0000-0000-000088650000}"/>
    <cellStyle name="Normal 319 6" xfId="25993" xr:uid="{00000000-0005-0000-0000-000089650000}"/>
    <cellStyle name="Normal 319 6 2" xfId="25994" xr:uid="{00000000-0005-0000-0000-00008A650000}"/>
    <cellStyle name="Normal 319 6 2 2" xfId="25995" xr:uid="{00000000-0005-0000-0000-00008B650000}"/>
    <cellStyle name="Normal 319 6 3" xfId="25996" xr:uid="{00000000-0005-0000-0000-00008C650000}"/>
    <cellStyle name="Normal 319 7" xfId="25997" xr:uid="{00000000-0005-0000-0000-00008D650000}"/>
    <cellStyle name="Normal 32" xfId="25998" xr:uid="{00000000-0005-0000-0000-00008E650000}"/>
    <cellStyle name="Normal 32 2" xfId="25999" xr:uid="{00000000-0005-0000-0000-00008F650000}"/>
    <cellStyle name="Normal 32 2 2" xfId="26000" xr:uid="{00000000-0005-0000-0000-000090650000}"/>
    <cellStyle name="Normal 32 2 2 2" xfId="26001" xr:uid="{00000000-0005-0000-0000-000091650000}"/>
    <cellStyle name="Normal 32 2 2 2 2" xfId="26002" xr:uid="{00000000-0005-0000-0000-000092650000}"/>
    <cellStyle name="Normal 32 2 2 3" xfId="26003" xr:uid="{00000000-0005-0000-0000-000093650000}"/>
    <cellStyle name="Normal 32 2 2 3 2" xfId="26004" xr:uid="{00000000-0005-0000-0000-000094650000}"/>
    <cellStyle name="Normal 32 2 2 3 2 2" xfId="26005" xr:uid="{00000000-0005-0000-0000-000095650000}"/>
    <cellStyle name="Normal 32 2 2 3 3" xfId="26006" xr:uid="{00000000-0005-0000-0000-000096650000}"/>
    <cellStyle name="Normal 32 2 2 4" xfId="26007" xr:uid="{00000000-0005-0000-0000-000097650000}"/>
    <cellStyle name="Normal 32 2 2 4 2" xfId="26008" xr:uid="{00000000-0005-0000-0000-000098650000}"/>
    <cellStyle name="Normal 32 2 2 4 2 2" xfId="26009" xr:uid="{00000000-0005-0000-0000-000099650000}"/>
    <cellStyle name="Normal 32 2 2 4 3" xfId="26010" xr:uid="{00000000-0005-0000-0000-00009A650000}"/>
    <cellStyle name="Normal 32 2 2 5" xfId="26011" xr:uid="{00000000-0005-0000-0000-00009B650000}"/>
    <cellStyle name="Normal 32 2 3" xfId="26012" xr:uid="{00000000-0005-0000-0000-00009C650000}"/>
    <cellStyle name="Normal 32 2 3 2" xfId="26013" xr:uid="{00000000-0005-0000-0000-00009D650000}"/>
    <cellStyle name="Normal 32 2 3 2 2" xfId="26014" xr:uid="{00000000-0005-0000-0000-00009E650000}"/>
    <cellStyle name="Normal 32 2 3 3" xfId="26015" xr:uid="{00000000-0005-0000-0000-00009F650000}"/>
    <cellStyle name="Normal 32 2 4" xfId="26016" xr:uid="{00000000-0005-0000-0000-0000A0650000}"/>
    <cellStyle name="Normal 32 2 4 2" xfId="26017" xr:uid="{00000000-0005-0000-0000-0000A1650000}"/>
    <cellStyle name="Normal 32 2 4 2 2" xfId="26018" xr:uid="{00000000-0005-0000-0000-0000A2650000}"/>
    <cellStyle name="Normal 32 2 4 3" xfId="26019" xr:uid="{00000000-0005-0000-0000-0000A3650000}"/>
    <cellStyle name="Normal 32 2 5" xfId="26020" xr:uid="{00000000-0005-0000-0000-0000A4650000}"/>
    <cellStyle name="Normal 32 2 5 2" xfId="26021" xr:uid="{00000000-0005-0000-0000-0000A5650000}"/>
    <cellStyle name="Normal 32 2 5 2 2" xfId="26022" xr:uid="{00000000-0005-0000-0000-0000A6650000}"/>
    <cellStyle name="Normal 32 2 5 3" xfId="26023" xr:uid="{00000000-0005-0000-0000-0000A7650000}"/>
    <cellStyle name="Normal 32 2 6" xfId="26024" xr:uid="{00000000-0005-0000-0000-0000A8650000}"/>
    <cellStyle name="Normal 32 3" xfId="26025" xr:uid="{00000000-0005-0000-0000-0000A9650000}"/>
    <cellStyle name="Normal 32 3 2" xfId="26026" xr:uid="{00000000-0005-0000-0000-0000AA650000}"/>
    <cellStyle name="Normal 32 3 2 2" xfId="26027" xr:uid="{00000000-0005-0000-0000-0000AB650000}"/>
    <cellStyle name="Normal 32 3 3" xfId="26028" xr:uid="{00000000-0005-0000-0000-0000AC650000}"/>
    <cellStyle name="Normal 32 3 3 2" xfId="26029" xr:uid="{00000000-0005-0000-0000-0000AD650000}"/>
    <cellStyle name="Normal 32 3 3 2 2" xfId="26030" xr:uid="{00000000-0005-0000-0000-0000AE650000}"/>
    <cellStyle name="Normal 32 3 3 3" xfId="26031" xr:uid="{00000000-0005-0000-0000-0000AF650000}"/>
    <cellStyle name="Normal 32 3 4" xfId="26032" xr:uid="{00000000-0005-0000-0000-0000B0650000}"/>
    <cellStyle name="Normal 32 3 4 2" xfId="26033" xr:uid="{00000000-0005-0000-0000-0000B1650000}"/>
    <cellStyle name="Normal 32 3 4 2 2" xfId="26034" xr:uid="{00000000-0005-0000-0000-0000B2650000}"/>
    <cellStyle name="Normal 32 3 4 3" xfId="26035" xr:uid="{00000000-0005-0000-0000-0000B3650000}"/>
    <cellStyle name="Normal 32 3 5" xfId="26036" xr:uid="{00000000-0005-0000-0000-0000B4650000}"/>
    <cellStyle name="Normal 32 4" xfId="26037" xr:uid="{00000000-0005-0000-0000-0000B5650000}"/>
    <cellStyle name="Normal 32 4 2" xfId="26038" xr:uid="{00000000-0005-0000-0000-0000B6650000}"/>
    <cellStyle name="Normal 32 4 2 2" xfId="26039" xr:uid="{00000000-0005-0000-0000-0000B7650000}"/>
    <cellStyle name="Normal 32 4 3" xfId="26040" xr:uid="{00000000-0005-0000-0000-0000B8650000}"/>
    <cellStyle name="Normal 32 5" xfId="26041" xr:uid="{00000000-0005-0000-0000-0000B9650000}"/>
    <cellStyle name="Normal 32 5 2" xfId="26042" xr:uid="{00000000-0005-0000-0000-0000BA650000}"/>
    <cellStyle name="Normal 32 5 2 2" xfId="26043" xr:uid="{00000000-0005-0000-0000-0000BB650000}"/>
    <cellStyle name="Normal 32 5 3" xfId="26044" xr:uid="{00000000-0005-0000-0000-0000BC650000}"/>
    <cellStyle name="Normal 32 6" xfId="26045" xr:uid="{00000000-0005-0000-0000-0000BD650000}"/>
    <cellStyle name="Normal 32 6 2" xfId="26046" xr:uid="{00000000-0005-0000-0000-0000BE650000}"/>
    <cellStyle name="Normal 32 6 2 2" xfId="26047" xr:uid="{00000000-0005-0000-0000-0000BF650000}"/>
    <cellStyle name="Normal 32 6 3" xfId="26048" xr:uid="{00000000-0005-0000-0000-0000C0650000}"/>
    <cellStyle name="Normal 32 7" xfId="26049" xr:uid="{00000000-0005-0000-0000-0000C1650000}"/>
    <cellStyle name="Normal 320" xfId="26050" xr:uid="{00000000-0005-0000-0000-0000C2650000}"/>
    <cellStyle name="Normal 320 2" xfId="26051" xr:uid="{00000000-0005-0000-0000-0000C3650000}"/>
    <cellStyle name="Normal 320 2 2" xfId="26052" xr:uid="{00000000-0005-0000-0000-0000C4650000}"/>
    <cellStyle name="Normal 320 2 2 2" xfId="26053" xr:uid="{00000000-0005-0000-0000-0000C5650000}"/>
    <cellStyle name="Normal 320 2 3" xfId="26054" xr:uid="{00000000-0005-0000-0000-0000C6650000}"/>
    <cellStyle name="Normal 320 2 3 2" xfId="26055" xr:uid="{00000000-0005-0000-0000-0000C7650000}"/>
    <cellStyle name="Normal 320 2 3 2 2" xfId="26056" xr:uid="{00000000-0005-0000-0000-0000C8650000}"/>
    <cellStyle name="Normal 320 2 3 3" xfId="26057" xr:uid="{00000000-0005-0000-0000-0000C9650000}"/>
    <cellStyle name="Normal 320 2 4" xfId="26058" xr:uid="{00000000-0005-0000-0000-0000CA650000}"/>
    <cellStyle name="Normal 320 2 4 2" xfId="26059" xr:uid="{00000000-0005-0000-0000-0000CB650000}"/>
    <cellStyle name="Normal 320 2 4 2 2" xfId="26060" xr:uid="{00000000-0005-0000-0000-0000CC650000}"/>
    <cellStyle name="Normal 320 2 4 3" xfId="26061" xr:uid="{00000000-0005-0000-0000-0000CD650000}"/>
    <cellStyle name="Normal 320 2 5" xfId="26062" xr:uid="{00000000-0005-0000-0000-0000CE650000}"/>
    <cellStyle name="Normal 320 3" xfId="26063" xr:uid="{00000000-0005-0000-0000-0000CF650000}"/>
    <cellStyle name="Normal 320 3 2" xfId="26064" xr:uid="{00000000-0005-0000-0000-0000D0650000}"/>
    <cellStyle name="Normal 320 3 2 2" xfId="26065" xr:uid="{00000000-0005-0000-0000-0000D1650000}"/>
    <cellStyle name="Normal 320 3 2 2 2" xfId="26066" xr:uid="{00000000-0005-0000-0000-0000D2650000}"/>
    <cellStyle name="Normal 320 3 2 3" xfId="26067" xr:uid="{00000000-0005-0000-0000-0000D3650000}"/>
    <cellStyle name="Normal 320 3 2 3 2" xfId="26068" xr:uid="{00000000-0005-0000-0000-0000D4650000}"/>
    <cellStyle name="Normal 320 3 2 3 2 2" xfId="26069" xr:uid="{00000000-0005-0000-0000-0000D5650000}"/>
    <cellStyle name="Normal 320 3 2 3 3" xfId="26070" xr:uid="{00000000-0005-0000-0000-0000D6650000}"/>
    <cellStyle name="Normal 320 3 2 4" xfId="26071" xr:uid="{00000000-0005-0000-0000-0000D7650000}"/>
    <cellStyle name="Normal 320 3 3" xfId="26072" xr:uid="{00000000-0005-0000-0000-0000D8650000}"/>
    <cellStyle name="Normal 320 3 3 2" xfId="26073" xr:uid="{00000000-0005-0000-0000-0000D9650000}"/>
    <cellStyle name="Normal 320 3 3 2 2" xfId="26074" xr:uid="{00000000-0005-0000-0000-0000DA650000}"/>
    <cellStyle name="Normal 320 3 3 3" xfId="26075" xr:uid="{00000000-0005-0000-0000-0000DB650000}"/>
    <cellStyle name="Normal 320 3 4" xfId="26076" xr:uid="{00000000-0005-0000-0000-0000DC650000}"/>
    <cellStyle name="Normal 320 3 4 2" xfId="26077" xr:uid="{00000000-0005-0000-0000-0000DD650000}"/>
    <cellStyle name="Normal 320 3 4 2 2" xfId="26078" xr:uid="{00000000-0005-0000-0000-0000DE650000}"/>
    <cellStyle name="Normal 320 3 4 3" xfId="26079" xr:uid="{00000000-0005-0000-0000-0000DF650000}"/>
    <cellStyle name="Normal 320 3 5" xfId="26080" xr:uid="{00000000-0005-0000-0000-0000E0650000}"/>
    <cellStyle name="Normal 320 3 5 2" xfId="26081" xr:uid="{00000000-0005-0000-0000-0000E1650000}"/>
    <cellStyle name="Normal 320 3 5 2 2" xfId="26082" xr:uid="{00000000-0005-0000-0000-0000E2650000}"/>
    <cellStyle name="Normal 320 3 5 3" xfId="26083" xr:uid="{00000000-0005-0000-0000-0000E3650000}"/>
    <cellStyle name="Normal 320 3 6" xfId="26084" xr:uid="{00000000-0005-0000-0000-0000E4650000}"/>
    <cellStyle name="Normal 320 4" xfId="26085" xr:uid="{00000000-0005-0000-0000-0000E5650000}"/>
    <cellStyle name="Normal 320 4 2" xfId="26086" xr:uid="{00000000-0005-0000-0000-0000E6650000}"/>
    <cellStyle name="Normal 320 4 2 2" xfId="26087" xr:uid="{00000000-0005-0000-0000-0000E7650000}"/>
    <cellStyle name="Normal 320 4 3" xfId="26088" xr:uid="{00000000-0005-0000-0000-0000E8650000}"/>
    <cellStyle name="Normal 320 5" xfId="26089" xr:uid="{00000000-0005-0000-0000-0000E9650000}"/>
    <cellStyle name="Normal 320 5 2" xfId="26090" xr:uid="{00000000-0005-0000-0000-0000EA650000}"/>
    <cellStyle name="Normal 320 5 2 2" xfId="26091" xr:uid="{00000000-0005-0000-0000-0000EB650000}"/>
    <cellStyle name="Normal 320 5 3" xfId="26092" xr:uid="{00000000-0005-0000-0000-0000EC650000}"/>
    <cellStyle name="Normal 320 6" xfId="26093" xr:uid="{00000000-0005-0000-0000-0000ED650000}"/>
    <cellStyle name="Normal 320 6 2" xfId="26094" xr:uid="{00000000-0005-0000-0000-0000EE650000}"/>
    <cellStyle name="Normal 320 6 2 2" xfId="26095" xr:uid="{00000000-0005-0000-0000-0000EF650000}"/>
    <cellStyle name="Normal 320 6 3" xfId="26096" xr:uid="{00000000-0005-0000-0000-0000F0650000}"/>
    <cellStyle name="Normal 320 7" xfId="26097" xr:uid="{00000000-0005-0000-0000-0000F1650000}"/>
    <cellStyle name="Normal 321" xfId="26098" xr:uid="{00000000-0005-0000-0000-0000F2650000}"/>
    <cellStyle name="Normal 321 2" xfId="26099" xr:uid="{00000000-0005-0000-0000-0000F3650000}"/>
    <cellStyle name="Normal 321 2 2" xfId="26100" xr:uid="{00000000-0005-0000-0000-0000F4650000}"/>
    <cellStyle name="Normal 321 2 2 2" xfId="26101" xr:uid="{00000000-0005-0000-0000-0000F5650000}"/>
    <cellStyle name="Normal 321 2 3" xfId="26102" xr:uid="{00000000-0005-0000-0000-0000F6650000}"/>
    <cellStyle name="Normal 321 2 3 2" xfId="26103" xr:uid="{00000000-0005-0000-0000-0000F7650000}"/>
    <cellStyle name="Normal 321 2 3 2 2" xfId="26104" xr:uid="{00000000-0005-0000-0000-0000F8650000}"/>
    <cellStyle name="Normal 321 2 3 3" xfId="26105" xr:uid="{00000000-0005-0000-0000-0000F9650000}"/>
    <cellStyle name="Normal 321 2 4" xfId="26106" xr:uid="{00000000-0005-0000-0000-0000FA650000}"/>
    <cellStyle name="Normal 321 2 4 2" xfId="26107" xr:uid="{00000000-0005-0000-0000-0000FB650000}"/>
    <cellStyle name="Normal 321 2 4 2 2" xfId="26108" xr:uid="{00000000-0005-0000-0000-0000FC650000}"/>
    <cellStyle name="Normal 321 2 4 3" xfId="26109" xr:uid="{00000000-0005-0000-0000-0000FD650000}"/>
    <cellStyle name="Normal 321 2 5" xfId="26110" xr:uid="{00000000-0005-0000-0000-0000FE650000}"/>
    <cellStyle name="Normal 321 3" xfId="26111" xr:uid="{00000000-0005-0000-0000-0000FF650000}"/>
    <cellStyle name="Normal 321 3 2" xfId="26112" xr:uid="{00000000-0005-0000-0000-000000660000}"/>
    <cellStyle name="Normal 321 3 2 2" xfId="26113" xr:uid="{00000000-0005-0000-0000-000001660000}"/>
    <cellStyle name="Normal 321 3 2 2 2" xfId="26114" xr:uid="{00000000-0005-0000-0000-000002660000}"/>
    <cellStyle name="Normal 321 3 2 3" xfId="26115" xr:uid="{00000000-0005-0000-0000-000003660000}"/>
    <cellStyle name="Normal 321 3 2 3 2" xfId="26116" xr:uid="{00000000-0005-0000-0000-000004660000}"/>
    <cellStyle name="Normal 321 3 2 3 2 2" xfId="26117" xr:uid="{00000000-0005-0000-0000-000005660000}"/>
    <cellStyle name="Normal 321 3 2 3 3" xfId="26118" xr:uid="{00000000-0005-0000-0000-000006660000}"/>
    <cellStyle name="Normal 321 3 2 4" xfId="26119" xr:uid="{00000000-0005-0000-0000-000007660000}"/>
    <cellStyle name="Normal 321 3 3" xfId="26120" xr:uid="{00000000-0005-0000-0000-000008660000}"/>
    <cellStyle name="Normal 321 3 3 2" xfId="26121" xr:uid="{00000000-0005-0000-0000-000009660000}"/>
    <cellStyle name="Normal 321 3 3 2 2" xfId="26122" xr:uid="{00000000-0005-0000-0000-00000A660000}"/>
    <cellStyle name="Normal 321 3 3 3" xfId="26123" xr:uid="{00000000-0005-0000-0000-00000B660000}"/>
    <cellStyle name="Normal 321 3 4" xfId="26124" xr:uid="{00000000-0005-0000-0000-00000C660000}"/>
    <cellStyle name="Normal 321 3 4 2" xfId="26125" xr:uid="{00000000-0005-0000-0000-00000D660000}"/>
    <cellStyle name="Normal 321 3 4 2 2" xfId="26126" xr:uid="{00000000-0005-0000-0000-00000E660000}"/>
    <cellStyle name="Normal 321 3 4 3" xfId="26127" xr:uid="{00000000-0005-0000-0000-00000F660000}"/>
    <cellStyle name="Normal 321 3 5" xfId="26128" xr:uid="{00000000-0005-0000-0000-000010660000}"/>
    <cellStyle name="Normal 321 3 5 2" xfId="26129" xr:uid="{00000000-0005-0000-0000-000011660000}"/>
    <cellStyle name="Normal 321 3 5 2 2" xfId="26130" xr:uid="{00000000-0005-0000-0000-000012660000}"/>
    <cellStyle name="Normal 321 3 5 3" xfId="26131" xr:uid="{00000000-0005-0000-0000-000013660000}"/>
    <cellStyle name="Normal 321 3 6" xfId="26132" xr:uid="{00000000-0005-0000-0000-000014660000}"/>
    <cellStyle name="Normal 321 4" xfId="26133" xr:uid="{00000000-0005-0000-0000-000015660000}"/>
    <cellStyle name="Normal 321 4 2" xfId="26134" xr:uid="{00000000-0005-0000-0000-000016660000}"/>
    <cellStyle name="Normal 321 4 2 2" xfId="26135" xr:uid="{00000000-0005-0000-0000-000017660000}"/>
    <cellStyle name="Normal 321 4 3" xfId="26136" xr:uid="{00000000-0005-0000-0000-000018660000}"/>
    <cellStyle name="Normal 321 5" xfId="26137" xr:uid="{00000000-0005-0000-0000-000019660000}"/>
    <cellStyle name="Normal 321 5 2" xfId="26138" xr:uid="{00000000-0005-0000-0000-00001A660000}"/>
    <cellStyle name="Normal 321 5 2 2" xfId="26139" xr:uid="{00000000-0005-0000-0000-00001B660000}"/>
    <cellStyle name="Normal 321 5 3" xfId="26140" xr:uid="{00000000-0005-0000-0000-00001C660000}"/>
    <cellStyle name="Normal 321 6" xfId="26141" xr:uid="{00000000-0005-0000-0000-00001D660000}"/>
    <cellStyle name="Normal 321 6 2" xfId="26142" xr:uid="{00000000-0005-0000-0000-00001E660000}"/>
    <cellStyle name="Normal 321 6 2 2" xfId="26143" xr:uid="{00000000-0005-0000-0000-00001F660000}"/>
    <cellStyle name="Normal 321 6 3" xfId="26144" xr:uid="{00000000-0005-0000-0000-000020660000}"/>
    <cellStyle name="Normal 321 7" xfId="26145" xr:uid="{00000000-0005-0000-0000-000021660000}"/>
    <cellStyle name="Normal 322" xfId="26146" xr:uid="{00000000-0005-0000-0000-000022660000}"/>
    <cellStyle name="Normal 322 2" xfId="26147" xr:uid="{00000000-0005-0000-0000-000023660000}"/>
    <cellStyle name="Normal 322 2 2" xfId="26148" xr:uid="{00000000-0005-0000-0000-000024660000}"/>
    <cellStyle name="Normal 322 2 2 2" xfId="26149" xr:uid="{00000000-0005-0000-0000-000025660000}"/>
    <cellStyle name="Normal 322 2 3" xfId="26150" xr:uid="{00000000-0005-0000-0000-000026660000}"/>
    <cellStyle name="Normal 322 2 3 2" xfId="26151" xr:uid="{00000000-0005-0000-0000-000027660000}"/>
    <cellStyle name="Normal 322 2 3 2 2" xfId="26152" xr:uid="{00000000-0005-0000-0000-000028660000}"/>
    <cellStyle name="Normal 322 2 3 3" xfId="26153" xr:uid="{00000000-0005-0000-0000-000029660000}"/>
    <cellStyle name="Normal 322 2 4" xfId="26154" xr:uid="{00000000-0005-0000-0000-00002A660000}"/>
    <cellStyle name="Normal 322 2 4 2" xfId="26155" xr:uid="{00000000-0005-0000-0000-00002B660000}"/>
    <cellStyle name="Normal 322 2 4 2 2" xfId="26156" xr:uid="{00000000-0005-0000-0000-00002C660000}"/>
    <cellStyle name="Normal 322 2 4 3" xfId="26157" xr:uid="{00000000-0005-0000-0000-00002D660000}"/>
    <cellStyle name="Normal 322 2 5" xfId="26158" xr:uid="{00000000-0005-0000-0000-00002E660000}"/>
    <cellStyle name="Normal 322 3" xfId="26159" xr:uid="{00000000-0005-0000-0000-00002F660000}"/>
    <cellStyle name="Normal 322 3 2" xfId="26160" xr:uid="{00000000-0005-0000-0000-000030660000}"/>
    <cellStyle name="Normal 322 3 2 2" xfId="26161" xr:uid="{00000000-0005-0000-0000-000031660000}"/>
    <cellStyle name="Normal 322 3 2 2 2" xfId="26162" xr:uid="{00000000-0005-0000-0000-000032660000}"/>
    <cellStyle name="Normal 322 3 2 3" xfId="26163" xr:uid="{00000000-0005-0000-0000-000033660000}"/>
    <cellStyle name="Normal 322 3 2 3 2" xfId="26164" xr:uid="{00000000-0005-0000-0000-000034660000}"/>
    <cellStyle name="Normal 322 3 2 3 2 2" xfId="26165" xr:uid="{00000000-0005-0000-0000-000035660000}"/>
    <cellStyle name="Normal 322 3 2 3 3" xfId="26166" xr:uid="{00000000-0005-0000-0000-000036660000}"/>
    <cellStyle name="Normal 322 3 2 4" xfId="26167" xr:uid="{00000000-0005-0000-0000-000037660000}"/>
    <cellStyle name="Normal 322 3 3" xfId="26168" xr:uid="{00000000-0005-0000-0000-000038660000}"/>
    <cellStyle name="Normal 322 3 3 2" xfId="26169" xr:uid="{00000000-0005-0000-0000-000039660000}"/>
    <cellStyle name="Normal 322 3 3 2 2" xfId="26170" xr:uid="{00000000-0005-0000-0000-00003A660000}"/>
    <cellStyle name="Normal 322 3 3 3" xfId="26171" xr:uid="{00000000-0005-0000-0000-00003B660000}"/>
    <cellStyle name="Normal 322 3 4" xfId="26172" xr:uid="{00000000-0005-0000-0000-00003C660000}"/>
    <cellStyle name="Normal 322 3 4 2" xfId="26173" xr:uid="{00000000-0005-0000-0000-00003D660000}"/>
    <cellStyle name="Normal 322 3 4 2 2" xfId="26174" xr:uid="{00000000-0005-0000-0000-00003E660000}"/>
    <cellStyle name="Normal 322 3 4 3" xfId="26175" xr:uid="{00000000-0005-0000-0000-00003F660000}"/>
    <cellStyle name="Normal 322 3 5" xfId="26176" xr:uid="{00000000-0005-0000-0000-000040660000}"/>
    <cellStyle name="Normal 322 3 5 2" xfId="26177" xr:uid="{00000000-0005-0000-0000-000041660000}"/>
    <cellStyle name="Normal 322 3 5 2 2" xfId="26178" xr:uid="{00000000-0005-0000-0000-000042660000}"/>
    <cellStyle name="Normal 322 3 5 3" xfId="26179" xr:uid="{00000000-0005-0000-0000-000043660000}"/>
    <cellStyle name="Normal 322 3 6" xfId="26180" xr:uid="{00000000-0005-0000-0000-000044660000}"/>
    <cellStyle name="Normal 322 4" xfId="26181" xr:uid="{00000000-0005-0000-0000-000045660000}"/>
    <cellStyle name="Normal 322 4 2" xfId="26182" xr:uid="{00000000-0005-0000-0000-000046660000}"/>
    <cellStyle name="Normal 322 4 2 2" xfId="26183" xr:uid="{00000000-0005-0000-0000-000047660000}"/>
    <cellStyle name="Normal 322 4 3" xfId="26184" xr:uid="{00000000-0005-0000-0000-000048660000}"/>
    <cellStyle name="Normal 322 5" xfId="26185" xr:uid="{00000000-0005-0000-0000-000049660000}"/>
    <cellStyle name="Normal 322 5 2" xfId="26186" xr:uid="{00000000-0005-0000-0000-00004A660000}"/>
    <cellStyle name="Normal 322 5 2 2" xfId="26187" xr:uid="{00000000-0005-0000-0000-00004B660000}"/>
    <cellStyle name="Normal 322 5 3" xfId="26188" xr:uid="{00000000-0005-0000-0000-00004C660000}"/>
    <cellStyle name="Normal 322 6" xfId="26189" xr:uid="{00000000-0005-0000-0000-00004D660000}"/>
    <cellStyle name="Normal 322 6 2" xfId="26190" xr:uid="{00000000-0005-0000-0000-00004E660000}"/>
    <cellStyle name="Normal 322 6 2 2" xfId="26191" xr:uid="{00000000-0005-0000-0000-00004F660000}"/>
    <cellStyle name="Normal 322 6 3" xfId="26192" xr:uid="{00000000-0005-0000-0000-000050660000}"/>
    <cellStyle name="Normal 322 7" xfId="26193" xr:uid="{00000000-0005-0000-0000-000051660000}"/>
    <cellStyle name="Normal 323" xfId="26194" xr:uid="{00000000-0005-0000-0000-000052660000}"/>
    <cellStyle name="Normal 323 2" xfId="26195" xr:uid="{00000000-0005-0000-0000-000053660000}"/>
    <cellStyle name="Normal 323 2 2" xfId="26196" xr:uid="{00000000-0005-0000-0000-000054660000}"/>
    <cellStyle name="Normal 323 2 2 2" xfId="26197" xr:uid="{00000000-0005-0000-0000-000055660000}"/>
    <cellStyle name="Normal 323 2 3" xfId="26198" xr:uid="{00000000-0005-0000-0000-000056660000}"/>
    <cellStyle name="Normal 323 2 3 2" xfId="26199" xr:uid="{00000000-0005-0000-0000-000057660000}"/>
    <cellStyle name="Normal 323 2 3 2 2" xfId="26200" xr:uid="{00000000-0005-0000-0000-000058660000}"/>
    <cellStyle name="Normal 323 2 3 3" xfId="26201" xr:uid="{00000000-0005-0000-0000-000059660000}"/>
    <cellStyle name="Normal 323 2 4" xfId="26202" xr:uid="{00000000-0005-0000-0000-00005A660000}"/>
    <cellStyle name="Normal 323 2 4 2" xfId="26203" xr:uid="{00000000-0005-0000-0000-00005B660000}"/>
    <cellStyle name="Normal 323 2 4 2 2" xfId="26204" xr:uid="{00000000-0005-0000-0000-00005C660000}"/>
    <cellStyle name="Normal 323 2 4 3" xfId="26205" xr:uid="{00000000-0005-0000-0000-00005D660000}"/>
    <cellStyle name="Normal 323 2 5" xfId="26206" xr:uid="{00000000-0005-0000-0000-00005E660000}"/>
    <cellStyle name="Normal 323 3" xfId="26207" xr:uid="{00000000-0005-0000-0000-00005F660000}"/>
    <cellStyle name="Normal 323 3 2" xfId="26208" xr:uid="{00000000-0005-0000-0000-000060660000}"/>
    <cellStyle name="Normal 323 3 2 2" xfId="26209" xr:uid="{00000000-0005-0000-0000-000061660000}"/>
    <cellStyle name="Normal 323 3 2 2 2" xfId="26210" xr:uid="{00000000-0005-0000-0000-000062660000}"/>
    <cellStyle name="Normal 323 3 2 3" xfId="26211" xr:uid="{00000000-0005-0000-0000-000063660000}"/>
    <cellStyle name="Normal 323 3 2 3 2" xfId="26212" xr:uid="{00000000-0005-0000-0000-000064660000}"/>
    <cellStyle name="Normal 323 3 2 3 2 2" xfId="26213" xr:uid="{00000000-0005-0000-0000-000065660000}"/>
    <cellStyle name="Normal 323 3 2 3 3" xfId="26214" xr:uid="{00000000-0005-0000-0000-000066660000}"/>
    <cellStyle name="Normal 323 3 2 4" xfId="26215" xr:uid="{00000000-0005-0000-0000-000067660000}"/>
    <cellStyle name="Normal 323 3 3" xfId="26216" xr:uid="{00000000-0005-0000-0000-000068660000}"/>
    <cellStyle name="Normal 323 3 3 2" xfId="26217" xr:uid="{00000000-0005-0000-0000-000069660000}"/>
    <cellStyle name="Normal 323 3 3 2 2" xfId="26218" xr:uid="{00000000-0005-0000-0000-00006A660000}"/>
    <cellStyle name="Normal 323 3 3 3" xfId="26219" xr:uid="{00000000-0005-0000-0000-00006B660000}"/>
    <cellStyle name="Normal 323 3 4" xfId="26220" xr:uid="{00000000-0005-0000-0000-00006C660000}"/>
    <cellStyle name="Normal 323 3 4 2" xfId="26221" xr:uid="{00000000-0005-0000-0000-00006D660000}"/>
    <cellStyle name="Normal 323 3 4 2 2" xfId="26222" xr:uid="{00000000-0005-0000-0000-00006E660000}"/>
    <cellStyle name="Normal 323 3 4 3" xfId="26223" xr:uid="{00000000-0005-0000-0000-00006F660000}"/>
    <cellStyle name="Normal 323 3 5" xfId="26224" xr:uid="{00000000-0005-0000-0000-000070660000}"/>
    <cellStyle name="Normal 323 3 5 2" xfId="26225" xr:uid="{00000000-0005-0000-0000-000071660000}"/>
    <cellStyle name="Normal 323 3 5 2 2" xfId="26226" xr:uid="{00000000-0005-0000-0000-000072660000}"/>
    <cellStyle name="Normal 323 3 5 3" xfId="26227" xr:uid="{00000000-0005-0000-0000-000073660000}"/>
    <cellStyle name="Normal 323 3 6" xfId="26228" xr:uid="{00000000-0005-0000-0000-000074660000}"/>
    <cellStyle name="Normal 323 4" xfId="26229" xr:uid="{00000000-0005-0000-0000-000075660000}"/>
    <cellStyle name="Normal 323 4 2" xfId="26230" xr:uid="{00000000-0005-0000-0000-000076660000}"/>
    <cellStyle name="Normal 323 4 2 2" xfId="26231" xr:uid="{00000000-0005-0000-0000-000077660000}"/>
    <cellStyle name="Normal 323 4 3" xfId="26232" xr:uid="{00000000-0005-0000-0000-000078660000}"/>
    <cellStyle name="Normal 323 5" xfId="26233" xr:uid="{00000000-0005-0000-0000-000079660000}"/>
    <cellStyle name="Normal 323 5 2" xfId="26234" xr:uid="{00000000-0005-0000-0000-00007A660000}"/>
    <cellStyle name="Normal 323 5 2 2" xfId="26235" xr:uid="{00000000-0005-0000-0000-00007B660000}"/>
    <cellStyle name="Normal 323 5 3" xfId="26236" xr:uid="{00000000-0005-0000-0000-00007C660000}"/>
    <cellStyle name="Normal 323 6" xfId="26237" xr:uid="{00000000-0005-0000-0000-00007D660000}"/>
    <cellStyle name="Normal 323 6 2" xfId="26238" xr:uid="{00000000-0005-0000-0000-00007E660000}"/>
    <cellStyle name="Normal 323 6 2 2" xfId="26239" xr:uid="{00000000-0005-0000-0000-00007F660000}"/>
    <cellStyle name="Normal 323 6 3" xfId="26240" xr:uid="{00000000-0005-0000-0000-000080660000}"/>
    <cellStyle name="Normal 323 7" xfId="26241" xr:uid="{00000000-0005-0000-0000-000081660000}"/>
    <cellStyle name="Normal 324" xfId="26242" xr:uid="{00000000-0005-0000-0000-000082660000}"/>
    <cellStyle name="Normal 324 2" xfId="26243" xr:uid="{00000000-0005-0000-0000-000083660000}"/>
    <cellStyle name="Normal 324 2 2" xfId="26244" xr:uid="{00000000-0005-0000-0000-000084660000}"/>
    <cellStyle name="Normal 324 2 2 2" xfId="26245" xr:uid="{00000000-0005-0000-0000-000085660000}"/>
    <cellStyle name="Normal 324 2 3" xfId="26246" xr:uid="{00000000-0005-0000-0000-000086660000}"/>
    <cellStyle name="Normal 324 2 3 2" xfId="26247" xr:uid="{00000000-0005-0000-0000-000087660000}"/>
    <cellStyle name="Normal 324 2 3 2 2" xfId="26248" xr:uid="{00000000-0005-0000-0000-000088660000}"/>
    <cellStyle name="Normal 324 2 3 3" xfId="26249" xr:uid="{00000000-0005-0000-0000-000089660000}"/>
    <cellStyle name="Normal 324 2 4" xfId="26250" xr:uid="{00000000-0005-0000-0000-00008A660000}"/>
    <cellStyle name="Normal 324 2 4 2" xfId="26251" xr:uid="{00000000-0005-0000-0000-00008B660000}"/>
    <cellStyle name="Normal 324 2 4 2 2" xfId="26252" xr:uid="{00000000-0005-0000-0000-00008C660000}"/>
    <cellStyle name="Normal 324 2 4 3" xfId="26253" xr:uid="{00000000-0005-0000-0000-00008D660000}"/>
    <cellStyle name="Normal 324 2 5" xfId="26254" xr:uid="{00000000-0005-0000-0000-00008E660000}"/>
    <cellStyle name="Normal 324 3" xfId="26255" xr:uid="{00000000-0005-0000-0000-00008F660000}"/>
    <cellStyle name="Normal 324 3 2" xfId="26256" xr:uid="{00000000-0005-0000-0000-000090660000}"/>
    <cellStyle name="Normal 324 3 2 2" xfId="26257" xr:uid="{00000000-0005-0000-0000-000091660000}"/>
    <cellStyle name="Normal 324 3 2 2 2" xfId="26258" xr:uid="{00000000-0005-0000-0000-000092660000}"/>
    <cellStyle name="Normal 324 3 2 3" xfId="26259" xr:uid="{00000000-0005-0000-0000-000093660000}"/>
    <cellStyle name="Normal 324 3 2 3 2" xfId="26260" xr:uid="{00000000-0005-0000-0000-000094660000}"/>
    <cellStyle name="Normal 324 3 2 3 2 2" xfId="26261" xr:uid="{00000000-0005-0000-0000-000095660000}"/>
    <cellStyle name="Normal 324 3 2 3 3" xfId="26262" xr:uid="{00000000-0005-0000-0000-000096660000}"/>
    <cellStyle name="Normal 324 3 2 4" xfId="26263" xr:uid="{00000000-0005-0000-0000-000097660000}"/>
    <cellStyle name="Normal 324 3 3" xfId="26264" xr:uid="{00000000-0005-0000-0000-000098660000}"/>
    <cellStyle name="Normal 324 3 3 2" xfId="26265" xr:uid="{00000000-0005-0000-0000-000099660000}"/>
    <cellStyle name="Normal 324 3 3 2 2" xfId="26266" xr:uid="{00000000-0005-0000-0000-00009A660000}"/>
    <cellStyle name="Normal 324 3 3 3" xfId="26267" xr:uid="{00000000-0005-0000-0000-00009B660000}"/>
    <cellStyle name="Normal 324 3 4" xfId="26268" xr:uid="{00000000-0005-0000-0000-00009C660000}"/>
    <cellStyle name="Normal 324 3 4 2" xfId="26269" xr:uid="{00000000-0005-0000-0000-00009D660000}"/>
    <cellStyle name="Normal 324 3 4 2 2" xfId="26270" xr:uid="{00000000-0005-0000-0000-00009E660000}"/>
    <cellStyle name="Normal 324 3 4 3" xfId="26271" xr:uid="{00000000-0005-0000-0000-00009F660000}"/>
    <cellStyle name="Normal 324 3 5" xfId="26272" xr:uid="{00000000-0005-0000-0000-0000A0660000}"/>
    <cellStyle name="Normal 324 3 5 2" xfId="26273" xr:uid="{00000000-0005-0000-0000-0000A1660000}"/>
    <cellStyle name="Normal 324 3 5 2 2" xfId="26274" xr:uid="{00000000-0005-0000-0000-0000A2660000}"/>
    <cellStyle name="Normal 324 3 5 3" xfId="26275" xr:uid="{00000000-0005-0000-0000-0000A3660000}"/>
    <cellStyle name="Normal 324 3 6" xfId="26276" xr:uid="{00000000-0005-0000-0000-0000A4660000}"/>
    <cellStyle name="Normal 324 4" xfId="26277" xr:uid="{00000000-0005-0000-0000-0000A5660000}"/>
    <cellStyle name="Normal 324 4 2" xfId="26278" xr:uid="{00000000-0005-0000-0000-0000A6660000}"/>
    <cellStyle name="Normal 324 4 2 2" xfId="26279" xr:uid="{00000000-0005-0000-0000-0000A7660000}"/>
    <cellStyle name="Normal 324 4 3" xfId="26280" xr:uid="{00000000-0005-0000-0000-0000A8660000}"/>
    <cellStyle name="Normal 324 5" xfId="26281" xr:uid="{00000000-0005-0000-0000-0000A9660000}"/>
    <cellStyle name="Normal 324 5 2" xfId="26282" xr:uid="{00000000-0005-0000-0000-0000AA660000}"/>
    <cellStyle name="Normal 324 5 2 2" xfId="26283" xr:uid="{00000000-0005-0000-0000-0000AB660000}"/>
    <cellStyle name="Normal 324 5 3" xfId="26284" xr:uid="{00000000-0005-0000-0000-0000AC660000}"/>
    <cellStyle name="Normal 324 6" xfId="26285" xr:uid="{00000000-0005-0000-0000-0000AD660000}"/>
    <cellStyle name="Normal 324 6 2" xfId="26286" xr:uid="{00000000-0005-0000-0000-0000AE660000}"/>
    <cellStyle name="Normal 324 6 2 2" xfId="26287" xr:uid="{00000000-0005-0000-0000-0000AF660000}"/>
    <cellStyle name="Normal 324 6 3" xfId="26288" xr:uid="{00000000-0005-0000-0000-0000B0660000}"/>
    <cellStyle name="Normal 324 7" xfId="26289" xr:uid="{00000000-0005-0000-0000-0000B1660000}"/>
    <cellStyle name="Normal 325" xfId="26290" xr:uid="{00000000-0005-0000-0000-0000B2660000}"/>
    <cellStyle name="Normal 325 2" xfId="26291" xr:uid="{00000000-0005-0000-0000-0000B3660000}"/>
    <cellStyle name="Normal 325 2 2" xfId="26292" xr:uid="{00000000-0005-0000-0000-0000B4660000}"/>
    <cellStyle name="Normal 325 2 2 2" xfId="26293" xr:uid="{00000000-0005-0000-0000-0000B5660000}"/>
    <cellStyle name="Normal 325 2 3" xfId="26294" xr:uid="{00000000-0005-0000-0000-0000B6660000}"/>
    <cellStyle name="Normal 325 2 3 2" xfId="26295" xr:uid="{00000000-0005-0000-0000-0000B7660000}"/>
    <cellStyle name="Normal 325 2 3 2 2" xfId="26296" xr:uid="{00000000-0005-0000-0000-0000B8660000}"/>
    <cellStyle name="Normal 325 2 3 3" xfId="26297" xr:uid="{00000000-0005-0000-0000-0000B9660000}"/>
    <cellStyle name="Normal 325 2 4" xfId="26298" xr:uid="{00000000-0005-0000-0000-0000BA660000}"/>
    <cellStyle name="Normal 325 2 4 2" xfId="26299" xr:uid="{00000000-0005-0000-0000-0000BB660000}"/>
    <cellStyle name="Normal 325 2 4 2 2" xfId="26300" xr:uid="{00000000-0005-0000-0000-0000BC660000}"/>
    <cellStyle name="Normal 325 2 4 3" xfId="26301" xr:uid="{00000000-0005-0000-0000-0000BD660000}"/>
    <cellStyle name="Normal 325 2 5" xfId="26302" xr:uid="{00000000-0005-0000-0000-0000BE660000}"/>
    <cellStyle name="Normal 325 3" xfId="26303" xr:uid="{00000000-0005-0000-0000-0000BF660000}"/>
    <cellStyle name="Normal 325 3 2" xfId="26304" xr:uid="{00000000-0005-0000-0000-0000C0660000}"/>
    <cellStyle name="Normal 325 3 2 2" xfId="26305" xr:uid="{00000000-0005-0000-0000-0000C1660000}"/>
    <cellStyle name="Normal 325 3 2 2 2" xfId="26306" xr:uid="{00000000-0005-0000-0000-0000C2660000}"/>
    <cellStyle name="Normal 325 3 2 3" xfId="26307" xr:uid="{00000000-0005-0000-0000-0000C3660000}"/>
    <cellStyle name="Normal 325 3 2 3 2" xfId="26308" xr:uid="{00000000-0005-0000-0000-0000C4660000}"/>
    <cellStyle name="Normal 325 3 2 3 2 2" xfId="26309" xr:uid="{00000000-0005-0000-0000-0000C5660000}"/>
    <cellStyle name="Normal 325 3 2 3 3" xfId="26310" xr:uid="{00000000-0005-0000-0000-0000C6660000}"/>
    <cellStyle name="Normal 325 3 2 4" xfId="26311" xr:uid="{00000000-0005-0000-0000-0000C7660000}"/>
    <cellStyle name="Normal 325 3 3" xfId="26312" xr:uid="{00000000-0005-0000-0000-0000C8660000}"/>
    <cellStyle name="Normal 325 3 3 2" xfId="26313" xr:uid="{00000000-0005-0000-0000-0000C9660000}"/>
    <cellStyle name="Normal 325 3 3 2 2" xfId="26314" xr:uid="{00000000-0005-0000-0000-0000CA660000}"/>
    <cellStyle name="Normal 325 3 3 3" xfId="26315" xr:uid="{00000000-0005-0000-0000-0000CB660000}"/>
    <cellStyle name="Normal 325 3 4" xfId="26316" xr:uid="{00000000-0005-0000-0000-0000CC660000}"/>
    <cellStyle name="Normal 325 3 4 2" xfId="26317" xr:uid="{00000000-0005-0000-0000-0000CD660000}"/>
    <cellStyle name="Normal 325 3 4 2 2" xfId="26318" xr:uid="{00000000-0005-0000-0000-0000CE660000}"/>
    <cellStyle name="Normal 325 3 4 3" xfId="26319" xr:uid="{00000000-0005-0000-0000-0000CF660000}"/>
    <cellStyle name="Normal 325 3 5" xfId="26320" xr:uid="{00000000-0005-0000-0000-0000D0660000}"/>
    <cellStyle name="Normal 325 3 5 2" xfId="26321" xr:uid="{00000000-0005-0000-0000-0000D1660000}"/>
    <cellStyle name="Normal 325 3 5 2 2" xfId="26322" xr:uid="{00000000-0005-0000-0000-0000D2660000}"/>
    <cellStyle name="Normal 325 3 5 3" xfId="26323" xr:uid="{00000000-0005-0000-0000-0000D3660000}"/>
    <cellStyle name="Normal 325 3 6" xfId="26324" xr:uid="{00000000-0005-0000-0000-0000D4660000}"/>
    <cellStyle name="Normal 325 4" xfId="26325" xr:uid="{00000000-0005-0000-0000-0000D5660000}"/>
    <cellStyle name="Normal 325 4 2" xfId="26326" xr:uid="{00000000-0005-0000-0000-0000D6660000}"/>
    <cellStyle name="Normal 325 4 2 2" xfId="26327" xr:uid="{00000000-0005-0000-0000-0000D7660000}"/>
    <cellStyle name="Normal 325 4 3" xfId="26328" xr:uid="{00000000-0005-0000-0000-0000D8660000}"/>
    <cellStyle name="Normal 325 5" xfId="26329" xr:uid="{00000000-0005-0000-0000-0000D9660000}"/>
    <cellStyle name="Normal 325 5 2" xfId="26330" xr:uid="{00000000-0005-0000-0000-0000DA660000}"/>
    <cellStyle name="Normal 325 5 2 2" xfId="26331" xr:uid="{00000000-0005-0000-0000-0000DB660000}"/>
    <cellStyle name="Normal 325 5 3" xfId="26332" xr:uid="{00000000-0005-0000-0000-0000DC660000}"/>
    <cellStyle name="Normal 325 6" xfId="26333" xr:uid="{00000000-0005-0000-0000-0000DD660000}"/>
    <cellStyle name="Normal 325 6 2" xfId="26334" xr:uid="{00000000-0005-0000-0000-0000DE660000}"/>
    <cellStyle name="Normal 325 6 2 2" xfId="26335" xr:uid="{00000000-0005-0000-0000-0000DF660000}"/>
    <cellStyle name="Normal 325 6 3" xfId="26336" xr:uid="{00000000-0005-0000-0000-0000E0660000}"/>
    <cellStyle name="Normal 325 7" xfId="26337" xr:uid="{00000000-0005-0000-0000-0000E1660000}"/>
    <cellStyle name="Normal 326" xfId="26338" xr:uid="{00000000-0005-0000-0000-0000E2660000}"/>
    <cellStyle name="Normal 326 2" xfId="26339" xr:uid="{00000000-0005-0000-0000-0000E3660000}"/>
    <cellStyle name="Normal 326 2 2" xfId="26340" xr:uid="{00000000-0005-0000-0000-0000E4660000}"/>
    <cellStyle name="Normal 326 2 2 2" xfId="26341" xr:uid="{00000000-0005-0000-0000-0000E5660000}"/>
    <cellStyle name="Normal 326 2 3" xfId="26342" xr:uid="{00000000-0005-0000-0000-0000E6660000}"/>
    <cellStyle name="Normal 326 2 3 2" xfId="26343" xr:uid="{00000000-0005-0000-0000-0000E7660000}"/>
    <cellStyle name="Normal 326 2 3 2 2" xfId="26344" xr:uid="{00000000-0005-0000-0000-0000E8660000}"/>
    <cellStyle name="Normal 326 2 3 3" xfId="26345" xr:uid="{00000000-0005-0000-0000-0000E9660000}"/>
    <cellStyle name="Normal 326 2 4" xfId="26346" xr:uid="{00000000-0005-0000-0000-0000EA660000}"/>
    <cellStyle name="Normal 326 2 4 2" xfId="26347" xr:uid="{00000000-0005-0000-0000-0000EB660000}"/>
    <cellStyle name="Normal 326 2 4 2 2" xfId="26348" xr:uid="{00000000-0005-0000-0000-0000EC660000}"/>
    <cellStyle name="Normal 326 2 4 3" xfId="26349" xr:uid="{00000000-0005-0000-0000-0000ED660000}"/>
    <cellStyle name="Normal 326 2 5" xfId="26350" xr:uid="{00000000-0005-0000-0000-0000EE660000}"/>
    <cellStyle name="Normal 326 3" xfId="26351" xr:uid="{00000000-0005-0000-0000-0000EF660000}"/>
    <cellStyle name="Normal 326 3 2" xfId="26352" xr:uid="{00000000-0005-0000-0000-0000F0660000}"/>
    <cellStyle name="Normal 326 3 2 2" xfId="26353" xr:uid="{00000000-0005-0000-0000-0000F1660000}"/>
    <cellStyle name="Normal 326 3 2 2 2" xfId="26354" xr:uid="{00000000-0005-0000-0000-0000F2660000}"/>
    <cellStyle name="Normal 326 3 2 3" xfId="26355" xr:uid="{00000000-0005-0000-0000-0000F3660000}"/>
    <cellStyle name="Normal 326 3 2 3 2" xfId="26356" xr:uid="{00000000-0005-0000-0000-0000F4660000}"/>
    <cellStyle name="Normal 326 3 2 3 2 2" xfId="26357" xr:uid="{00000000-0005-0000-0000-0000F5660000}"/>
    <cellStyle name="Normal 326 3 2 3 3" xfId="26358" xr:uid="{00000000-0005-0000-0000-0000F6660000}"/>
    <cellStyle name="Normal 326 3 2 4" xfId="26359" xr:uid="{00000000-0005-0000-0000-0000F7660000}"/>
    <cellStyle name="Normal 326 3 3" xfId="26360" xr:uid="{00000000-0005-0000-0000-0000F8660000}"/>
    <cellStyle name="Normal 326 3 3 2" xfId="26361" xr:uid="{00000000-0005-0000-0000-0000F9660000}"/>
    <cellStyle name="Normal 326 3 3 2 2" xfId="26362" xr:uid="{00000000-0005-0000-0000-0000FA660000}"/>
    <cellStyle name="Normal 326 3 3 3" xfId="26363" xr:uid="{00000000-0005-0000-0000-0000FB660000}"/>
    <cellStyle name="Normal 326 3 4" xfId="26364" xr:uid="{00000000-0005-0000-0000-0000FC660000}"/>
    <cellStyle name="Normal 326 3 4 2" xfId="26365" xr:uid="{00000000-0005-0000-0000-0000FD660000}"/>
    <cellStyle name="Normal 326 3 4 2 2" xfId="26366" xr:uid="{00000000-0005-0000-0000-0000FE660000}"/>
    <cellStyle name="Normal 326 3 4 3" xfId="26367" xr:uid="{00000000-0005-0000-0000-0000FF660000}"/>
    <cellStyle name="Normal 326 3 5" xfId="26368" xr:uid="{00000000-0005-0000-0000-000000670000}"/>
    <cellStyle name="Normal 326 3 5 2" xfId="26369" xr:uid="{00000000-0005-0000-0000-000001670000}"/>
    <cellStyle name="Normal 326 3 5 2 2" xfId="26370" xr:uid="{00000000-0005-0000-0000-000002670000}"/>
    <cellStyle name="Normal 326 3 5 3" xfId="26371" xr:uid="{00000000-0005-0000-0000-000003670000}"/>
    <cellStyle name="Normal 326 3 6" xfId="26372" xr:uid="{00000000-0005-0000-0000-000004670000}"/>
    <cellStyle name="Normal 326 4" xfId="26373" xr:uid="{00000000-0005-0000-0000-000005670000}"/>
    <cellStyle name="Normal 326 4 2" xfId="26374" xr:uid="{00000000-0005-0000-0000-000006670000}"/>
    <cellStyle name="Normal 326 4 2 2" xfId="26375" xr:uid="{00000000-0005-0000-0000-000007670000}"/>
    <cellStyle name="Normal 326 4 3" xfId="26376" xr:uid="{00000000-0005-0000-0000-000008670000}"/>
    <cellStyle name="Normal 326 5" xfId="26377" xr:uid="{00000000-0005-0000-0000-000009670000}"/>
    <cellStyle name="Normal 326 5 2" xfId="26378" xr:uid="{00000000-0005-0000-0000-00000A670000}"/>
    <cellStyle name="Normal 326 5 2 2" xfId="26379" xr:uid="{00000000-0005-0000-0000-00000B670000}"/>
    <cellStyle name="Normal 326 5 3" xfId="26380" xr:uid="{00000000-0005-0000-0000-00000C670000}"/>
    <cellStyle name="Normal 326 6" xfId="26381" xr:uid="{00000000-0005-0000-0000-00000D670000}"/>
    <cellStyle name="Normal 326 6 2" xfId="26382" xr:uid="{00000000-0005-0000-0000-00000E670000}"/>
    <cellStyle name="Normal 326 6 2 2" xfId="26383" xr:uid="{00000000-0005-0000-0000-00000F670000}"/>
    <cellStyle name="Normal 326 6 3" xfId="26384" xr:uid="{00000000-0005-0000-0000-000010670000}"/>
    <cellStyle name="Normal 326 7" xfId="26385" xr:uid="{00000000-0005-0000-0000-000011670000}"/>
    <cellStyle name="Normal 327" xfId="26386" xr:uid="{00000000-0005-0000-0000-000012670000}"/>
    <cellStyle name="Normal 327 2" xfId="26387" xr:uid="{00000000-0005-0000-0000-000013670000}"/>
    <cellStyle name="Normal 327 2 2" xfId="26388" xr:uid="{00000000-0005-0000-0000-000014670000}"/>
    <cellStyle name="Normal 327 2 2 2" xfId="26389" xr:uid="{00000000-0005-0000-0000-000015670000}"/>
    <cellStyle name="Normal 327 2 3" xfId="26390" xr:uid="{00000000-0005-0000-0000-000016670000}"/>
    <cellStyle name="Normal 327 2 3 2" xfId="26391" xr:uid="{00000000-0005-0000-0000-000017670000}"/>
    <cellStyle name="Normal 327 2 3 2 2" xfId="26392" xr:uid="{00000000-0005-0000-0000-000018670000}"/>
    <cellStyle name="Normal 327 2 3 3" xfId="26393" xr:uid="{00000000-0005-0000-0000-000019670000}"/>
    <cellStyle name="Normal 327 2 4" xfId="26394" xr:uid="{00000000-0005-0000-0000-00001A670000}"/>
    <cellStyle name="Normal 327 2 4 2" xfId="26395" xr:uid="{00000000-0005-0000-0000-00001B670000}"/>
    <cellStyle name="Normal 327 2 4 2 2" xfId="26396" xr:uid="{00000000-0005-0000-0000-00001C670000}"/>
    <cellStyle name="Normal 327 2 4 3" xfId="26397" xr:uid="{00000000-0005-0000-0000-00001D670000}"/>
    <cellStyle name="Normal 327 2 5" xfId="26398" xr:uid="{00000000-0005-0000-0000-00001E670000}"/>
    <cellStyle name="Normal 327 3" xfId="26399" xr:uid="{00000000-0005-0000-0000-00001F670000}"/>
    <cellStyle name="Normal 327 3 2" xfId="26400" xr:uid="{00000000-0005-0000-0000-000020670000}"/>
    <cellStyle name="Normal 327 3 2 2" xfId="26401" xr:uid="{00000000-0005-0000-0000-000021670000}"/>
    <cellStyle name="Normal 327 3 2 2 2" xfId="26402" xr:uid="{00000000-0005-0000-0000-000022670000}"/>
    <cellStyle name="Normal 327 3 2 3" xfId="26403" xr:uid="{00000000-0005-0000-0000-000023670000}"/>
    <cellStyle name="Normal 327 3 2 3 2" xfId="26404" xr:uid="{00000000-0005-0000-0000-000024670000}"/>
    <cellStyle name="Normal 327 3 2 3 2 2" xfId="26405" xr:uid="{00000000-0005-0000-0000-000025670000}"/>
    <cellStyle name="Normal 327 3 2 3 3" xfId="26406" xr:uid="{00000000-0005-0000-0000-000026670000}"/>
    <cellStyle name="Normal 327 3 2 4" xfId="26407" xr:uid="{00000000-0005-0000-0000-000027670000}"/>
    <cellStyle name="Normal 327 3 3" xfId="26408" xr:uid="{00000000-0005-0000-0000-000028670000}"/>
    <cellStyle name="Normal 327 3 3 2" xfId="26409" xr:uid="{00000000-0005-0000-0000-000029670000}"/>
    <cellStyle name="Normal 327 3 3 2 2" xfId="26410" xr:uid="{00000000-0005-0000-0000-00002A670000}"/>
    <cellStyle name="Normal 327 3 3 3" xfId="26411" xr:uid="{00000000-0005-0000-0000-00002B670000}"/>
    <cellStyle name="Normal 327 3 4" xfId="26412" xr:uid="{00000000-0005-0000-0000-00002C670000}"/>
    <cellStyle name="Normal 327 3 4 2" xfId="26413" xr:uid="{00000000-0005-0000-0000-00002D670000}"/>
    <cellStyle name="Normal 327 3 4 2 2" xfId="26414" xr:uid="{00000000-0005-0000-0000-00002E670000}"/>
    <cellStyle name="Normal 327 3 4 3" xfId="26415" xr:uid="{00000000-0005-0000-0000-00002F670000}"/>
    <cellStyle name="Normal 327 3 5" xfId="26416" xr:uid="{00000000-0005-0000-0000-000030670000}"/>
    <cellStyle name="Normal 327 3 5 2" xfId="26417" xr:uid="{00000000-0005-0000-0000-000031670000}"/>
    <cellStyle name="Normal 327 3 5 2 2" xfId="26418" xr:uid="{00000000-0005-0000-0000-000032670000}"/>
    <cellStyle name="Normal 327 3 5 3" xfId="26419" xr:uid="{00000000-0005-0000-0000-000033670000}"/>
    <cellStyle name="Normal 327 3 6" xfId="26420" xr:uid="{00000000-0005-0000-0000-000034670000}"/>
    <cellStyle name="Normal 327 4" xfId="26421" xr:uid="{00000000-0005-0000-0000-000035670000}"/>
    <cellStyle name="Normal 327 4 2" xfId="26422" xr:uid="{00000000-0005-0000-0000-000036670000}"/>
    <cellStyle name="Normal 327 4 2 2" xfId="26423" xr:uid="{00000000-0005-0000-0000-000037670000}"/>
    <cellStyle name="Normal 327 4 3" xfId="26424" xr:uid="{00000000-0005-0000-0000-000038670000}"/>
    <cellStyle name="Normal 327 5" xfId="26425" xr:uid="{00000000-0005-0000-0000-000039670000}"/>
    <cellStyle name="Normal 327 5 2" xfId="26426" xr:uid="{00000000-0005-0000-0000-00003A670000}"/>
    <cellStyle name="Normal 327 5 2 2" xfId="26427" xr:uid="{00000000-0005-0000-0000-00003B670000}"/>
    <cellStyle name="Normal 327 5 3" xfId="26428" xr:uid="{00000000-0005-0000-0000-00003C670000}"/>
    <cellStyle name="Normal 327 6" xfId="26429" xr:uid="{00000000-0005-0000-0000-00003D670000}"/>
    <cellStyle name="Normal 327 6 2" xfId="26430" xr:uid="{00000000-0005-0000-0000-00003E670000}"/>
    <cellStyle name="Normal 327 6 2 2" xfId="26431" xr:uid="{00000000-0005-0000-0000-00003F670000}"/>
    <cellStyle name="Normal 327 6 3" xfId="26432" xr:uid="{00000000-0005-0000-0000-000040670000}"/>
    <cellStyle name="Normal 327 7" xfId="26433" xr:uid="{00000000-0005-0000-0000-000041670000}"/>
    <cellStyle name="Normal 328" xfId="26434" xr:uid="{00000000-0005-0000-0000-000042670000}"/>
    <cellStyle name="Normal 328 2" xfId="26435" xr:uid="{00000000-0005-0000-0000-000043670000}"/>
    <cellStyle name="Normal 328 2 2" xfId="26436" xr:uid="{00000000-0005-0000-0000-000044670000}"/>
    <cellStyle name="Normal 328 2 2 2" xfId="26437" xr:uid="{00000000-0005-0000-0000-000045670000}"/>
    <cellStyle name="Normal 328 2 3" xfId="26438" xr:uid="{00000000-0005-0000-0000-000046670000}"/>
    <cellStyle name="Normal 328 2 3 2" xfId="26439" xr:uid="{00000000-0005-0000-0000-000047670000}"/>
    <cellStyle name="Normal 328 2 3 2 2" xfId="26440" xr:uid="{00000000-0005-0000-0000-000048670000}"/>
    <cellStyle name="Normal 328 2 3 3" xfId="26441" xr:uid="{00000000-0005-0000-0000-000049670000}"/>
    <cellStyle name="Normal 328 2 4" xfId="26442" xr:uid="{00000000-0005-0000-0000-00004A670000}"/>
    <cellStyle name="Normal 328 2 4 2" xfId="26443" xr:uid="{00000000-0005-0000-0000-00004B670000}"/>
    <cellStyle name="Normal 328 2 4 2 2" xfId="26444" xr:uid="{00000000-0005-0000-0000-00004C670000}"/>
    <cellStyle name="Normal 328 2 4 3" xfId="26445" xr:uid="{00000000-0005-0000-0000-00004D670000}"/>
    <cellStyle name="Normal 328 2 5" xfId="26446" xr:uid="{00000000-0005-0000-0000-00004E670000}"/>
    <cellStyle name="Normal 328 3" xfId="26447" xr:uid="{00000000-0005-0000-0000-00004F670000}"/>
    <cellStyle name="Normal 328 3 2" xfId="26448" xr:uid="{00000000-0005-0000-0000-000050670000}"/>
    <cellStyle name="Normal 328 3 2 2" xfId="26449" xr:uid="{00000000-0005-0000-0000-000051670000}"/>
    <cellStyle name="Normal 328 3 2 2 2" xfId="26450" xr:uid="{00000000-0005-0000-0000-000052670000}"/>
    <cellStyle name="Normal 328 3 2 3" xfId="26451" xr:uid="{00000000-0005-0000-0000-000053670000}"/>
    <cellStyle name="Normal 328 3 2 3 2" xfId="26452" xr:uid="{00000000-0005-0000-0000-000054670000}"/>
    <cellStyle name="Normal 328 3 2 3 2 2" xfId="26453" xr:uid="{00000000-0005-0000-0000-000055670000}"/>
    <cellStyle name="Normal 328 3 2 3 3" xfId="26454" xr:uid="{00000000-0005-0000-0000-000056670000}"/>
    <cellStyle name="Normal 328 3 2 4" xfId="26455" xr:uid="{00000000-0005-0000-0000-000057670000}"/>
    <cellStyle name="Normal 328 3 3" xfId="26456" xr:uid="{00000000-0005-0000-0000-000058670000}"/>
    <cellStyle name="Normal 328 3 3 2" xfId="26457" xr:uid="{00000000-0005-0000-0000-000059670000}"/>
    <cellStyle name="Normal 328 3 3 2 2" xfId="26458" xr:uid="{00000000-0005-0000-0000-00005A670000}"/>
    <cellStyle name="Normal 328 3 3 3" xfId="26459" xr:uid="{00000000-0005-0000-0000-00005B670000}"/>
    <cellStyle name="Normal 328 3 4" xfId="26460" xr:uid="{00000000-0005-0000-0000-00005C670000}"/>
    <cellStyle name="Normal 328 3 4 2" xfId="26461" xr:uid="{00000000-0005-0000-0000-00005D670000}"/>
    <cellStyle name="Normal 328 3 4 2 2" xfId="26462" xr:uid="{00000000-0005-0000-0000-00005E670000}"/>
    <cellStyle name="Normal 328 3 4 3" xfId="26463" xr:uid="{00000000-0005-0000-0000-00005F670000}"/>
    <cellStyle name="Normal 328 3 5" xfId="26464" xr:uid="{00000000-0005-0000-0000-000060670000}"/>
    <cellStyle name="Normal 328 3 5 2" xfId="26465" xr:uid="{00000000-0005-0000-0000-000061670000}"/>
    <cellStyle name="Normal 328 3 5 2 2" xfId="26466" xr:uid="{00000000-0005-0000-0000-000062670000}"/>
    <cellStyle name="Normal 328 3 5 3" xfId="26467" xr:uid="{00000000-0005-0000-0000-000063670000}"/>
    <cellStyle name="Normal 328 3 6" xfId="26468" xr:uid="{00000000-0005-0000-0000-000064670000}"/>
    <cellStyle name="Normal 328 4" xfId="26469" xr:uid="{00000000-0005-0000-0000-000065670000}"/>
    <cellStyle name="Normal 328 4 2" xfId="26470" xr:uid="{00000000-0005-0000-0000-000066670000}"/>
    <cellStyle name="Normal 328 4 2 2" xfId="26471" xr:uid="{00000000-0005-0000-0000-000067670000}"/>
    <cellStyle name="Normal 328 4 3" xfId="26472" xr:uid="{00000000-0005-0000-0000-000068670000}"/>
    <cellStyle name="Normal 328 5" xfId="26473" xr:uid="{00000000-0005-0000-0000-000069670000}"/>
    <cellStyle name="Normal 328 5 2" xfId="26474" xr:uid="{00000000-0005-0000-0000-00006A670000}"/>
    <cellStyle name="Normal 328 5 2 2" xfId="26475" xr:uid="{00000000-0005-0000-0000-00006B670000}"/>
    <cellStyle name="Normal 328 5 3" xfId="26476" xr:uid="{00000000-0005-0000-0000-00006C670000}"/>
    <cellStyle name="Normal 328 6" xfId="26477" xr:uid="{00000000-0005-0000-0000-00006D670000}"/>
    <cellStyle name="Normal 328 6 2" xfId="26478" xr:uid="{00000000-0005-0000-0000-00006E670000}"/>
    <cellStyle name="Normal 328 6 2 2" xfId="26479" xr:uid="{00000000-0005-0000-0000-00006F670000}"/>
    <cellStyle name="Normal 328 6 3" xfId="26480" xr:uid="{00000000-0005-0000-0000-000070670000}"/>
    <cellStyle name="Normal 328 7" xfId="26481" xr:uid="{00000000-0005-0000-0000-000071670000}"/>
    <cellStyle name="Normal 329" xfId="26482" xr:uid="{00000000-0005-0000-0000-000072670000}"/>
    <cellStyle name="Normal 329 2" xfId="26483" xr:uid="{00000000-0005-0000-0000-000073670000}"/>
    <cellStyle name="Normal 329 2 2" xfId="26484" xr:uid="{00000000-0005-0000-0000-000074670000}"/>
    <cellStyle name="Normal 329 2 2 2" xfId="26485" xr:uid="{00000000-0005-0000-0000-000075670000}"/>
    <cellStyle name="Normal 329 2 3" xfId="26486" xr:uid="{00000000-0005-0000-0000-000076670000}"/>
    <cellStyle name="Normal 329 2 3 2" xfId="26487" xr:uid="{00000000-0005-0000-0000-000077670000}"/>
    <cellStyle name="Normal 329 2 3 2 2" xfId="26488" xr:uid="{00000000-0005-0000-0000-000078670000}"/>
    <cellStyle name="Normal 329 2 3 3" xfId="26489" xr:uid="{00000000-0005-0000-0000-000079670000}"/>
    <cellStyle name="Normal 329 2 4" xfId="26490" xr:uid="{00000000-0005-0000-0000-00007A670000}"/>
    <cellStyle name="Normal 329 2 4 2" xfId="26491" xr:uid="{00000000-0005-0000-0000-00007B670000}"/>
    <cellStyle name="Normal 329 2 4 2 2" xfId="26492" xr:uid="{00000000-0005-0000-0000-00007C670000}"/>
    <cellStyle name="Normal 329 2 4 3" xfId="26493" xr:uid="{00000000-0005-0000-0000-00007D670000}"/>
    <cellStyle name="Normal 329 2 5" xfId="26494" xr:uid="{00000000-0005-0000-0000-00007E670000}"/>
    <cellStyle name="Normal 329 3" xfId="26495" xr:uid="{00000000-0005-0000-0000-00007F670000}"/>
    <cellStyle name="Normal 329 3 2" xfId="26496" xr:uid="{00000000-0005-0000-0000-000080670000}"/>
    <cellStyle name="Normal 329 3 2 2" xfId="26497" xr:uid="{00000000-0005-0000-0000-000081670000}"/>
    <cellStyle name="Normal 329 3 2 2 2" xfId="26498" xr:uid="{00000000-0005-0000-0000-000082670000}"/>
    <cellStyle name="Normal 329 3 2 3" xfId="26499" xr:uid="{00000000-0005-0000-0000-000083670000}"/>
    <cellStyle name="Normal 329 3 2 3 2" xfId="26500" xr:uid="{00000000-0005-0000-0000-000084670000}"/>
    <cellStyle name="Normal 329 3 2 3 2 2" xfId="26501" xr:uid="{00000000-0005-0000-0000-000085670000}"/>
    <cellStyle name="Normal 329 3 2 3 3" xfId="26502" xr:uid="{00000000-0005-0000-0000-000086670000}"/>
    <cellStyle name="Normal 329 3 2 4" xfId="26503" xr:uid="{00000000-0005-0000-0000-000087670000}"/>
    <cellStyle name="Normal 329 3 3" xfId="26504" xr:uid="{00000000-0005-0000-0000-000088670000}"/>
    <cellStyle name="Normal 329 3 3 2" xfId="26505" xr:uid="{00000000-0005-0000-0000-000089670000}"/>
    <cellStyle name="Normal 329 3 3 2 2" xfId="26506" xr:uid="{00000000-0005-0000-0000-00008A670000}"/>
    <cellStyle name="Normal 329 3 3 3" xfId="26507" xr:uid="{00000000-0005-0000-0000-00008B670000}"/>
    <cellStyle name="Normal 329 3 4" xfId="26508" xr:uid="{00000000-0005-0000-0000-00008C670000}"/>
    <cellStyle name="Normal 329 3 4 2" xfId="26509" xr:uid="{00000000-0005-0000-0000-00008D670000}"/>
    <cellStyle name="Normal 329 3 4 2 2" xfId="26510" xr:uid="{00000000-0005-0000-0000-00008E670000}"/>
    <cellStyle name="Normal 329 3 4 3" xfId="26511" xr:uid="{00000000-0005-0000-0000-00008F670000}"/>
    <cellStyle name="Normal 329 3 5" xfId="26512" xr:uid="{00000000-0005-0000-0000-000090670000}"/>
    <cellStyle name="Normal 329 3 5 2" xfId="26513" xr:uid="{00000000-0005-0000-0000-000091670000}"/>
    <cellStyle name="Normal 329 3 5 2 2" xfId="26514" xr:uid="{00000000-0005-0000-0000-000092670000}"/>
    <cellStyle name="Normal 329 3 5 3" xfId="26515" xr:uid="{00000000-0005-0000-0000-000093670000}"/>
    <cellStyle name="Normal 329 3 6" xfId="26516" xr:uid="{00000000-0005-0000-0000-000094670000}"/>
    <cellStyle name="Normal 329 4" xfId="26517" xr:uid="{00000000-0005-0000-0000-000095670000}"/>
    <cellStyle name="Normal 329 4 2" xfId="26518" xr:uid="{00000000-0005-0000-0000-000096670000}"/>
    <cellStyle name="Normal 329 4 2 2" xfId="26519" xr:uid="{00000000-0005-0000-0000-000097670000}"/>
    <cellStyle name="Normal 329 4 3" xfId="26520" xr:uid="{00000000-0005-0000-0000-000098670000}"/>
    <cellStyle name="Normal 329 5" xfId="26521" xr:uid="{00000000-0005-0000-0000-000099670000}"/>
    <cellStyle name="Normal 329 5 2" xfId="26522" xr:uid="{00000000-0005-0000-0000-00009A670000}"/>
    <cellStyle name="Normal 329 5 2 2" xfId="26523" xr:uid="{00000000-0005-0000-0000-00009B670000}"/>
    <cellStyle name="Normal 329 5 3" xfId="26524" xr:uid="{00000000-0005-0000-0000-00009C670000}"/>
    <cellStyle name="Normal 329 6" xfId="26525" xr:uid="{00000000-0005-0000-0000-00009D670000}"/>
    <cellStyle name="Normal 329 6 2" xfId="26526" xr:uid="{00000000-0005-0000-0000-00009E670000}"/>
    <cellStyle name="Normal 329 6 2 2" xfId="26527" xr:uid="{00000000-0005-0000-0000-00009F670000}"/>
    <cellStyle name="Normal 329 6 3" xfId="26528" xr:uid="{00000000-0005-0000-0000-0000A0670000}"/>
    <cellStyle name="Normal 329 7" xfId="26529" xr:uid="{00000000-0005-0000-0000-0000A1670000}"/>
    <cellStyle name="Normal 33" xfId="26530" xr:uid="{00000000-0005-0000-0000-0000A2670000}"/>
    <cellStyle name="Normal 33 2" xfId="26531" xr:uid="{00000000-0005-0000-0000-0000A3670000}"/>
    <cellStyle name="Normal 33 2 2" xfId="26532" xr:uid="{00000000-0005-0000-0000-0000A4670000}"/>
    <cellStyle name="Normal 33 2 2 2" xfId="26533" xr:uid="{00000000-0005-0000-0000-0000A5670000}"/>
    <cellStyle name="Normal 33 2 2 2 2" xfId="26534" xr:uid="{00000000-0005-0000-0000-0000A6670000}"/>
    <cellStyle name="Normal 33 2 2 3" xfId="26535" xr:uid="{00000000-0005-0000-0000-0000A7670000}"/>
    <cellStyle name="Normal 33 2 2 3 2" xfId="26536" xr:uid="{00000000-0005-0000-0000-0000A8670000}"/>
    <cellStyle name="Normal 33 2 2 3 2 2" xfId="26537" xr:uid="{00000000-0005-0000-0000-0000A9670000}"/>
    <cellStyle name="Normal 33 2 2 3 3" xfId="26538" xr:uid="{00000000-0005-0000-0000-0000AA670000}"/>
    <cellStyle name="Normal 33 2 2 4" xfId="26539" xr:uid="{00000000-0005-0000-0000-0000AB670000}"/>
    <cellStyle name="Normal 33 2 2 4 2" xfId="26540" xr:uid="{00000000-0005-0000-0000-0000AC670000}"/>
    <cellStyle name="Normal 33 2 2 4 2 2" xfId="26541" xr:uid="{00000000-0005-0000-0000-0000AD670000}"/>
    <cellStyle name="Normal 33 2 2 4 3" xfId="26542" xr:uid="{00000000-0005-0000-0000-0000AE670000}"/>
    <cellStyle name="Normal 33 2 2 5" xfId="26543" xr:uid="{00000000-0005-0000-0000-0000AF670000}"/>
    <cellStyle name="Normal 33 2 3" xfId="26544" xr:uid="{00000000-0005-0000-0000-0000B0670000}"/>
    <cellStyle name="Normal 33 2 3 2" xfId="26545" xr:uid="{00000000-0005-0000-0000-0000B1670000}"/>
    <cellStyle name="Normal 33 2 3 2 2" xfId="26546" xr:uid="{00000000-0005-0000-0000-0000B2670000}"/>
    <cellStyle name="Normal 33 2 3 2 2 2" xfId="26547" xr:uid="{00000000-0005-0000-0000-0000B3670000}"/>
    <cellStyle name="Normal 33 2 3 2 3" xfId="26548" xr:uid="{00000000-0005-0000-0000-0000B4670000}"/>
    <cellStyle name="Normal 33 2 3 2 3 2" xfId="26549" xr:uid="{00000000-0005-0000-0000-0000B5670000}"/>
    <cellStyle name="Normal 33 2 3 2 3 2 2" xfId="26550" xr:uid="{00000000-0005-0000-0000-0000B6670000}"/>
    <cellStyle name="Normal 33 2 3 2 3 3" xfId="26551" xr:uid="{00000000-0005-0000-0000-0000B7670000}"/>
    <cellStyle name="Normal 33 2 3 2 4" xfId="26552" xr:uid="{00000000-0005-0000-0000-0000B8670000}"/>
    <cellStyle name="Normal 33 2 3 3" xfId="26553" xr:uid="{00000000-0005-0000-0000-0000B9670000}"/>
    <cellStyle name="Normal 33 2 3 3 2" xfId="26554" xr:uid="{00000000-0005-0000-0000-0000BA670000}"/>
    <cellStyle name="Normal 33 2 3 3 2 2" xfId="26555" xr:uid="{00000000-0005-0000-0000-0000BB670000}"/>
    <cellStyle name="Normal 33 2 3 3 3" xfId="26556" xr:uid="{00000000-0005-0000-0000-0000BC670000}"/>
    <cellStyle name="Normal 33 2 3 4" xfId="26557" xr:uid="{00000000-0005-0000-0000-0000BD670000}"/>
    <cellStyle name="Normal 33 2 3 4 2" xfId="26558" xr:uid="{00000000-0005-0000-0000-0000BE670000}"/>
    <cellStyle name="Normal 33 2 3 4 2 2" xfId="26559" xr:uid="{00000000-0005-0000-0000-0000BF670000}"/>
    <cellStyle name="Normal 33 2 3 4 3" xfId="26560" xr:uid="{00000000-0005-0000-0000-0000C0670000}"/>
    <cellStyle name="Normal 33 2 3 5" xfId="26561" xr:uid="{00000000-0005-0000-0000-0000C1670000}"/>
    <cellStyle name="Normal 33 2 3 5 2" xfId="26562" xr:uid="{00000000-0005-0000-0000-0000C2670000}"/>
    <cellStyle name="Normal 33 2 3 5 2 2" xfId="26563" xr:uid="{00000000-0005-0000-0000-0000C3670000}"/>
    <cellStyle name="Normal 33 2 3 5 3" xfId="26564" xr:uid="{00000000-0005-0000-0000-0000C4670000}"/>
    <cellStyle name="Normal 33 2 3 6" xfId="26565" xr:uid="{00000000-0005-0000-0000-0000C5670000}"/>
    <cellStyle name="Normal 33 2 4" xfId="26566" xr:uid="{00000000-0005-0000-0000-0000C6670000}"/>
    <cellStyle name="Normal 33 3" xfId="26567" xr:uid="{00000000-0005-0000-0000-0000C7670000}"/>
    <cellStyle name="Normal 33 3 2" xfId="26568" xr:uid="{00000000-0005-0000-0000-0000C8670000}"/>
    <cellStyle name="Normal 33 3 2 2" xfId="26569" xr:uid="{00000000-0005-0000-0000-0000C9670000}"/>
    <cellStyle name="Normal 33 3 2 2 2" xfId="26570" xr:uid="{00000000-0005-0000-0000-0000CA670000}"/>
    <cellStyle name="Normal 33 3 2 3" xfId="26571" xr:uid="{00000000-0005-0000-0000-0000CB670000}"/>
    <cellStyle name="Normal 33 3 2 3 2" xfId="26572" xr:uid="{00000000-0005-0000-0000-0000CC670000}"/>
    <cellStyle name="Normal 33 3 2 3 2 2" xfId="26573" xr:uid="{00000000-0005-0000-0000-0000CD670000}"/>
    <cellStyle name="Normal 33 3 2 3 3" xfId="26574" xr:uid="{00000000-0005-0000-0000-0000CE670000}"/>
    <cellStyle name="Normal 33 3 2 4" xfId="26575" xr:uid="{00000000-0005-0000-0000-0000CF670000}"/>
    <cellStyle name="Normal 33 3 2 4 2" xfId="26576" xr:uid="{00000000-0005-0000-0000-0000D0670000}"/>
    <cellStyle name="Normal 33 3 2 4 2 2" xfId="26577" xr:uid="{00000000-0005-0000-0000-0000D1670000}"/>
    <cellStyle name="Normal 33 3 2 4 3" xfId="26578" xr:uid="{00000000-0005-0000-0000-0000D2670000}"/>
    <cellStyle name="Normal 33 3 2 5" xfId="26579" xr:uid="{00000000-0005-0000-0000-0000D3670000}"/>
    <cellStyle name="Normal 33 3 3" xfId="26580" xr:uid="{00000000-0005-0000-0000-0000D4670000}"/>
    <cellStyle name="Normal 33 3 3 2" xfId="26581" xr:uid="{00000000-0005-0000-0000-0000D5670000}"/>
    <cellStyle name="Normal 33 3 3 2 2" xfId="26582" xr:uid="{00000000-0005-0000-0000-0000D6670000}"/>
    <cellStyle name="Normal 33 3 3 3" xfId="26583" xr:uid="{00000000-0005-0000-0000-0000D7670000}"/>
    <cellStyle name="Normal 33 3 4" xfId="26584" xr:uid="{00000000-0005-0000-0000-0000D8670000}"/>
    <cellStyle name="Normal 33 3 4 2" xfId="26585" xr:uid="{00000000-0005-0000-0000-0000D9670000}"/>
    <cellStyle name="Normal 33 3 4 2 2" xfId="26586" xr:uid="{00000000-0005-0000-0000-0000DA670000}"/>
    <cellStyle name="Normal 33 3 4 3" xfId="26587" xr:uid="{00000000-0005-0000-0000-0000DB670000}"/>
    <cellStyle name="Normal 33 3 5" xfId="26588" xr:uid="{00000000-0005-0000-0000-0000DC670000}"/>
    <cellStyle name="Normal 33 3 5 2" xfId="26589" xr:uid="{00000000-0005-0000-0000-0000DD670000}"/>
    <cellStyle name="Normal 33 3 5 2 2" xfId="26590" xr:uid="{00000000-0005-0000-0000-0000DE670000}"/>
    <cellStyle name="Normal 33 3 5 3" xfId="26591" xr:uid="{00000000-0005-0000-0000-0000DF670000}"/>
    <cellStyle name="Normal 33 3 6" xfId="26592" xr:uid="{00000000-0005-0000-0000-0000E0670000}"/>
    <cellStyle name="Normal 33 4" xfId="26593" xr:uid="{00000000-0005-0000-0000-0000E1670000}"/>
    <cellStyle name="Normal 33 4 2" xfId="26594" xr:uid="{00000000-0005-0000-0000-0000E2670000}"/>
    <cellStyle name="Normal 33 4 2 2" xfId="26595" xr:uid="{00000000-0005-0000-0000-0000E3670000}"/>
    <cellStyle name="Normal 33 4 3" xfId="26596" xr:uid="{00000000-0005-0000-0000-0000E4670000}"/>
    <cellStyle name="Normal 33 4 3 2" xfId="26597" xr:uid="{00000000-0005-0000-0000-0000E5670000}"/>
    <cellStyle name="Normal 33 4 3 2 2" xfId="26598" xr:uid="{00000000-0005-0000-0000-0000E6670000}"/>
    <cellStyle name="Normal 33 4 3 3" xfId="26599" xr:uid="{00000000-0005-0000-0000-0000E7670000}"/>
    <cellStyle name="Normal 33 4 4" xfId="26600" xr:uid="{00000000-0005-0000-0000-0000E8670000}"/>
    <cellStyle name="Normal 33 4 4 2" xfId="26601" xr:uid="{00000000-0005-0000-0000-0000E9670000}"/>
    <cellStyle name="Normal 33 4 4 2 2" xfId="26602" xr:uid="{00000000-0005-0000-0000-0000EA670000}"/>
    <cellStyle name="Normal 33 4 4 3" xfId="26603" xr:uid="{00000000-0005-0000-0000-0000EB670000}"/>
    <cellStyle name="Normal 33 4 5" xfId="26604" xr:uid="{00000000-0005-0000-0000-0000EC670000}"/>
    <cellStyle name="Normal 33 5" xfId="26605" xr:uid="{00000000-0005-0000-0000-0000ED670000}"/>
    <cellStyle name="Normal 33 5 2" xfId="26606" xr:uid="{00000000-0005-0000-0000-0000EE670000}"/>
    <cellStyle name="Normal 33 5 2 2" xfId="26607" xr:uid="{00000000-0005-0000-0000-0000EF670000}"/>
    <cellStyle name="Normal 33 5 3" xfId="26608" xr:uid="{00000000-0005-0000-0000-0000F0670000}"/>
    <cellStyle name="Normal 33 6" xfId="26609" xr:uid="{00000000-0005-0000-0000-0000F1670000}"/>
    <cellStyle name="Normal 330" xfId="26610" xr:uid="{00000000-0005-0000-0000-0000F2670000}"/>
    <cellStyle name="Normal 330 2" xfId="26611" xr:uid="{00000000-0005-0000-0000-0000F3670000}"/>
    <cellStyle name="Normal 330 2 2" xfId="26612" xr:uid="{00000000-0005-0000-0000-0000F4670000}"/>
    <cellStyle name="Normal 330 2 2 2" xfId="26613" xr:uid="{00000000-0005-0000-0000-0000F5670000}"/>
    <cellStyle name="Normal 330 2 3" xfId="26614" xr:uid="{00000000-0005-0000-0000-0000F6670000}"/>
    <cellStyle name="Normal 330 2 3 2" xfId="26615" xr:uid="{00000000-0005-0000-0000-0000F7670000}"/>
    <cellStyle name="Normal 330 2 3 2 2" xfId="26616" xr:uid="{00000000-0005-0000-0000-0000F8670000}"/>
    <cellStyle name="Normal 330 2 3 3" xfId="26617" xr:uid="{00000000-0005-0000-0000-0000F9670000}"/>
    <cellStyle name="Normal 330 2 4" xfId="26618" xr:uid="{00000000-0005-0000-0000-0000FA670000}"/>
    <cellStyle name="Normal 330 2 4 2" xfId="26619" xr:uid="{00000000-0005-0000-0000-0000FB670000}"/>
    <cellStyle name="Normal 330 2 4 2 2" xfId="26620" xr:uid="{00000000-0005-0000-0000-0000FC670000}"/>
    <cellStyle name="Normal 330 2 4 3" xfId="26621" xr:uid="{00000000-0005-0000-0000-0000FD670000}"/>
    <cellStyle name="Normal 330 2 5" xfId="26622" xr:uid="{00000000-0005-0000-0000-0000FE670000}"/>
    <cellStyle name="Normal 330 3" xfId="26623" xr:uid="{00000000-0005-0000-0000-0000FF670000}"/>
    <cellStyle name="Normal 330 3 2" xfId="26624" xr:uid="{00000000-0005-0000-0000-000000680000}"/>
    <cellStyle name="Normal 330 3 2 2" xfId="26625" xr:uid="{00000000-0005-0000-0000-000001680000}"/>
    <cellStyle name="Normal 330 3 2 2 2" xfId="26626" xr:uid="{00000000-0005-0000-0000-000002680000}"/>
    <cellStyle name="Normal 330 3 2 3" xfId="26627" xr:uid="{00000000-0005-0000-0000-000003680000}"/>
    <cellStyle name="Normal 330 3 2 3 2" xfId="26628" xr:uid="{00000000-0005-0000-0000-000004680000}"/>
    <cellStyle name="Normal 330 3 2 3 2 2" xfId="26629" xr:uid="{00000000-0005-0000-0000-000005680000}"/>
    <cellStyle name="Normal 330 3 2 3 3" xfId="26630" xr:uid="{00000000-0005-0000-0000-000006680000}"/>
    <cellStyle name="Normal 330 3 2 4" xfId="26631" xr:uid="{00000000-0005-0000-0000-000007680000}"/>
    <cellStyle name="Normal 330 3 3" xfId="26632" xr:uid="{00000000-0005-0000-0000-000008680000}"/>
    <cellStyle name="Normal 330 3 3 2" xfId="26633" xr:uid="{00000000-0005-0000-0000-000009680000}"/>
    <cellStyle name="Normal 330 3 3 2 2" xfId="26634" xr:uid="{00000000-0005-0000-0000-00000A680000}"/>
    <cellStyle name="Normal 330 3 3 3" xfId="26635" xr:uid="{00000000-0005-0000-0000-00000B680000}"/>
    <cellStyle name="Normal 330 3 4" xfId="26636" xr:uid="{00000000-0005-0000-0000-00000C680000}"/>
    <cellStyle name="Normal 330 3 4 2" xfId="26637" xr:uid="{00000000-0005-0000-0000-00000D680000}"/>
    <cellStyle name="Normal 330 3 4 2 2" xfId="26638" xr:uid="{00000000-0005-0000-0000-00000E680000}"/>
    <cellStyle name="Normal 330 3 4 3" xfId="26639" xr:uid="{00000000-0005-0000-0000-00000F680000}"/>
    <cellStyle name="Normal 330 3 5" xfId="26640" xr:uid="{00000000-0005-0000-0000-000010680000}"/>
    <cellStyle name="Normal 330 3 5 2" xfId="26641" xr:uid="{00000000-0005-0000-0000-000011680000}"/>
    <cellStyle name="Normal 330 3 5 2 2" xfId="26642" xr:uid="{00000000-0005-0000-0000-000012680000}"/>
    <cellStyle name="Normal 330 3 5 3" xfId="26643" xr:uid="{00000000-0005-0000-0000-000013680000}"/>
    <cellStyle name="Normal 330 3 6" xfId="26644" xr:uid="{00000000-0005-0000-0000-000014680000}"/>
    <cellStyle name="Normal 330 4" xfId="26645" xr:uid="{00000000-0005-0000-0000-000015680000}"/>
    <cellStyle name="Normal 330 4 2" xfId="26646" xr:uid="{00000000-0005-0000-0000-000016680000}"/>
    <cellStyle name="Normal 330 4 2 2" xfId="26647" xr:uid="{00000000-0005-0000-0000-000017680000}"/>
    <cellStyle name="Normal 330 4 3" xfId="26648" xr:uid="{00000000-0005-0000-0000-000018680000}"/>
    <cellStyle name="Normal 330 5" xfId="26649" xr:uid="{00000000-0005-0000-0000-000019680000}"/>
    <cellStyle name="Normal 330 5 2" xfId="26650" xr:uid="{00000000-0005-0000-0000-00001A680000}"/>
    <cellStyle name="Normal 330 5 2 2" xfId="26651" xr:uid="{00000000-0005-0000-0000-00001B680000}"/>
    <cellStyle name="Normal 330 5 3" xfId="26652" xr:uid="{00000000-0005-0000-0000-00001C680000}"/>
    <cellStyle name="Normal 330 6" xfId="26653" xr:uid="{00000000-0005-0000-0000-00001D680000}"/>
    <cellStyle name="Normal 330 6 2" xfId="26654" xr:uid="{00000000-0005-0000-0000-00001E680000}"/>
    <cellStyle name="Normal 330 6 2 2" xfId="26655" xr:uid="{00000000-0005-0000-0000-00001F680000}"/>
    <cellStyle name="Normal 330 6 3" xfId="26656" xr:uid="{00000000-0005-0000-0000-000020680000}"/>
    <cellStyle name="Normal 330 7" xfId="26657" xr:uid="{00000000-0005-0000-0000-000021680000}"/>
    <cellStyle name="Normal 331" xfId="26658" xr:uid="{00000000-0005-0000-0000-000022680000}"/>
    <cellStyle name="Normal 331 2" xfId="26659" xr:uid="{00000000-0005-0000-0000-000023680000}"/>
    <cellStyle name="Normal 331 2 2" xfId="26660" xr:uid="{00000000-0005-0000-0000-000024680000}"/>
    <cellStyle name="Normal 331 2 2 2" xfId="26661" xr:uid="{00000000-0005-0000-0000-000025680000}"/>
    <cellStyle name="Normal 331 2 3" xfId="26662" xr:uid="{00000000-0005-0000-0000-000026680000}"/>
    <cellStyle name="Normal 331 2 3 2" xfId="26663" xr:uid="{00000000-0005-0000-0000-000027680000}"/>
    <cellStyle name="Normal 331 2 3 2 2" xfId="26664" xr:uid="{00000000-0005-0000-0000-000028680000}"/>
    <cellStyle name="Normal 331 2 3 3" xfId="26665" xr:uid="{00000000-0005-0000-0000-000029680000}"/>
    <cellStyle name="Normal 331 2 4" xfId="26666" xr:uid="{00000000-0005-0000-0000-00002A680000}"/>
    <cellStyle name="Normal 331 2 4 2" xfId="26667" xr:uid="{00000000-0005-0000-0000-00002B680000}"/>
    <cellStyle name="Normal 331 2 4 2 2" xfId="26668" xr:uid="{00000000-0005-0000-0000-00002C680000}"/>
    <cellStyle name="Normal 331 2 4 3" xfId="26669" xr:uid="{00000000-0005-0000-0000-00002D680000}"/>
    <cellStyle name="Normal 331 2 5" xfId="26670" xr:uid="{00000000-0005-0000-0000-00002E680000}"/>
    <cellStyle name="Normal 331 3" xfId="26671" xr:uid="{00000000-0005-0000-0000-00002F680000}"/>
    <cellStyle name="Normal 331 3 2" xfId="26672" xr:uid="{00000000-0005-0000-0000-000030680000}"/>
    <cellStyle name="Normal 331 3 2 2" xfId="26673" xr:uid="{00000000-0005-0000-0000-000031680000}"/>
    <cellStyle name="Normal 331 3 2 2 2" xfId="26674" xr:uid="{00000000-0005-0000-0000-000032680000}"/>
    <cellStyle name="Normal 331 3 2 3" xfId="26675" xr:uid="{00000000-0005-0000-0000-000033680000}"/>
    <cellStyle name="Normal 331 3 2 3 2" xfId="26676" xr:uid="{00000000-0005-0000-0000-000034680000}"/>
    <cellStyle name="Normal 331 3 2 3 2 2" xfId="26677" xr:uid="{00000000-0005-0000-0000-000035680000}"/>
    <cellStyle name="Normal 331 3 2 3 3" xfId="26678" xr:uid="{00000000-0005-0000-0000-000036680000}"/>
    <cellStyle name="Normal 331 3 2 4" xfId="26679" xr:uid="{00000000-0005-0000-0000-000037680000}"/>
    <cellStyle name="Normal 331 3 3" xfId="26680" xr:uid="{00000000-0005-0000-0000-000038680000}"/>
    <cellStyle name="Normal 331 3 3 2" xfId="26681" xr:uid="{00000000-0005-0000-0000-000039680000}"/>
    <cellStyle name="Normal 331 3 3 2 2" xfId="26682" xr:uid="{00000000-0005-0000-0000-00003A680000}"/>
    <cellStyle name="Normal 331 3 3 3" xfId="26683" xr:uid="{00000000-0005-0000-0000-00003B680000}"/>
    <cellStyle name="Normal 331 3 4" xfId="26684" xr:uid="{00000000-0005-0000-0000-00003C680000}"/>
    <cellStyle name="Normal 331 3 4 2" xfId="26685" xr:uid="{00000000-0005-0000-0000-00003D680000}"/>
    <cellStyle name="Normal 331 3 4 2 2" xfId="26686" xr:uid="{00000000-0005-0000-0000-00003E680000}"/>
    <cellStyle name="Normal 331 3 4 3" xfId="26687" xr:uid="{00000000-0005-0000-0000-00003F680000}"/>
    <cellStyle name="Normal 331 3 5" xfId="26688" xr:uid="{00000000-0005-0000-0000-000040680000}"/>
    <cellStyle name="Normal 331 3 5 2" xfId="26689" xr:uid="{00000000-0005-0000-0000-000041680000}"/>
    <cellStyle name="Normal 331 3 5 2 2" xfId="26690" xr:uid="{00000000-0005-0000-0000-000042680000}"/>
    <cellStyle name="Normal 331 3 5 3" xfId="26691" xr:uid="{00000000-0005-0000-0000-000043680000}"/>
    <cellStyle name="Normal 331 3 6" xfId="26692" xr:uid="{00000000-0005-0000-0000-000044680000}"/>
    <cellStyle name="Normal 331 4" xfId="26693" xr:uid="{00000000-0005-0000-0000-000045680000}"/>
    <cellStyle name="Normal 331 4 2" xfId="26694" xr:uid="{00000000-0005-0000-0000-000046680000}"/>
    <cellStyle name="Normal 331 4 2 2" xfId="26695" xr:uid="{00000000-0005-0000-0000-000047680000}"/>
    <cellStyle name="Normal 331 4 3" xfId="26696" xr:uid="{00000000-0005-0000-0000-000048680000}"/>
    <cellStyle name="Normal 331 5" xfId="26697" xr:uid="{00000000-0005-0000-0000-000049680000}"/>
    <cellStyle name="Normal 331 5 2" xfId="26698" xr:uid="{00000000-0005-0000-0000-00004A680000}"/>
    <cellStyle name="Normal 331 5 2 2" xfId="26699" xr:uid="{00000000-0005-0000-0000-00004B680000}"/>
    <cellStyle name="Normal 331 5 3" xfId="26700" xr:uid="{00000000-0005-0000-0000-00004C680000}"/>
    <cellStyle name="Normal 331 6" xfId="26701" xr:uid="{00000000-0005-0000-0000-00004D680000}"/>
    <cellStyle name="Normal 331 6 2" xfId="26702" xr:uid="{00000000-0005-0000-0000-00004E680000}"/>
    <cellStyle name="Normal 331 6 2 2" xfId="26703" xr:uid="{00000000-0005-0000-0000-00004F680000}"/>
    <cellStyle name="Normal 331 6 3" xfId="26704" xr:uid="{00000000-0005-0000-0000-000050680000}"/>
    <cellStyle name="Normal 331 7" xfId="26705" xr:uid="{00000000-0005-0000-0000-000051680000}"/>
    <cellStyle name="Normal 332" xfId="26706" xr:uid="{00000000-0005-0000-0000-000052680000}"/>
    <cellStyle name="Normal 332 2" xfId="26707" xr:uid="{00000000-0005-0000-0000-000053680000}"/>
    <cellStyle name="Normal 332 2 2" xfId="26708" xr:uid="{00000000-0005-0000-0000-000054680000}"/>
    <cellStyle name="Normal 332 2 2 2" xfId="26709" xr:uid="{00000000-0005-0000-0000-000055680000}"/>
    <cellStyle name="Normal 332 2 3" xfId="26710" xr:uid="{00000000-0005-0000-0000-000056680000}"/>
    <cellStyle name="Normal 332 2 3 2" xfId="26711" xr:uid="{00000000-0005-0000-0000-000057680000}"/>
    <cellStyle name="Normal 332 2 3 2 2" xfId="26712" xr:uid="{00000000-0005-0000-0000-000058680000}"/>
    <cellStyle name="Normal 332 2 3 3" xfId="26713" xr:uid="{00000000-0005-0000-0000-000059680000}"/>
    <cellStyle name="Normal 332 2 4" xfId="26714" xr:uid="{00000000-0005-0000-0000-00005A680000}"/>
    <cellStyle name="Normal 332 2 4 2" xfId="26715" xr:uid="{00000000-0005-0000-0000-00005B680000}"/>
    <cellStyle name="Normal 332 2 4 2 2" xfId="26716" xr:uid="{00000000-0005-0000-0000-00005C680000}"/>
    <cellStyle name="Normal 332 2 4 3" xfId="26717" xr:uid="{00000000-0005-0000-0000-00005D680000}"/>
    <cellStyle name="Normal 332 2 5" xfId="26718" xr:uid="{00000000-0005-0000-0000-00005E680000}"/>
    <cellStyle name="Normal 332 3" xfId="26719" xr:uid="{00000000-0005-0000-0000-00005F680000}"/>
    <cellStyle name="Normal 332 3 2" xfId="26720" xr:uid="{00000000-0005-0000-0000-000060680000}"/>
    <cellStyle name="Normal 332 3 2 2" xfId="26721" xr:uid="{00000000-0005-0000-0000-000061680000}"/>
    <cellStyle name="Normal 332 3 2 2 2" xfId="26722" xr:uid="{00000000-0005-0000-0000-000062680000}"/>
    <cellStyle name="Normal 332 3 2 3" xfId="26723" xr:uid="{00000000-0005-0000-0000-000063680000}"/>
    <cellStyle name="Normal 332 3 2 3 2" xfId="26724" xr:uid="{00000000-0005-0000-0000-000064680000}"/>
    <cellStyle name="Normal 332 3 2 3 2 2" xfId="26725" xr:uid="{00000000-0005-0000-0000-000065680000}"/>
    <cellStyle name="Normal 332 3 2 3 3" xfId="26726" xr:uid="{00000000-0005-0000-0000-000066680000}"/>
    <cellStyle name="Normal 332 3 2 4" xfId="26727" xr:uid="{00000000-0005-0000-0000-000067680000}"/>
    <cellStyle name="Normal 332 3 3" xfId="26728" xr:uid="{00000000-0005-0000-0000-000068680000}"/>
    <cellStyle name="Normal 332 3 3 2" xfId="26729" xr:uid="{00000000-0005-0000-0000-000069680000}"/>
    <cellStyle name="Normal 332 3 3 2 2" xfId="26730" xr:uid="{00000000-0005-0000-0000-00006A680000}"/>
    <cellStyle name="Normal 332 3 3 3" xfId="26731" xr:uid="{00000000-0005-0000-0000-00006B680000}"/>
    <cellStyle name="Normal 332 3 4" xfId="26732" xr:uid="{00000000-0005-0000-0000-00006C680000}"/>
    <cellStyle name="Normal 332 3 4 2" xfId="26733" xr:uid="{00000000-0005-0000-0000-00006D680000}"/>
    <cellStyle name="Normal 332 3 4 2 2" xfId="26734" xr:uid="{00000000-0005-0000-0000-00006E680000}"/>
    <cellStyle name="Normal 332 3 4 3" xfId="26735" xr:uid="{00000000-0005-0000-0000-00006F680000}"/>
    <cellStyle name="Normal 332 3 5" xfId="26736" xr:uid="{00000000-0005-0000-0000-000070680000}"/>
    <cellStyle name="Normal 332 3 5 2" xfId="26737" xr:uid="{00000000-0005-0000-0000-000071680000}"/>
    <cellStyle name="Normal 332 3 5 2 2" xfId="26738" xr:uid="{00000000-0005-0000-0000-000072680000}"/>
    <cellStyle name="Normal 332 3 5 3" xfId="26739" xr:uid="{00000000-0005-0000-0000-000073680000}"/>
    <cellStyle name="Normal 332 3 6" xfId="26740" xr:uid="{00000000-0005-0000-0000-000074680000}"/>
    <cellStyle name="Normal 332 4" xfId="26741" xr:uid="{00000000-0005-0000-0000-000075680000}"/>
    <cellStyle name="Normal 332 4 2" xfId="26742" xr:uid="{00000000-0005-0000-0000-000076680000}"/>
    <cellStyle name="Normal 332 4 2 2" xfId="26743" xr:uid="{00000000-0005-0000-0000-000077680000}"/>
    <cellStyle name="Normal 332 4 3" xfId="26744" xr:uid="{00000000-0005-0000-0000-000078680000}"/>
    <cellStyle name="Normal 332 5" xfId="26745" xr:uid="{00000000-0005-0000-0000-000079680000}"/>
    <cellStyle name="Normal 332 5 2" xfId="26746" xr:uid="{00000000-0005-0000-0000-00007A680000}"/>
    <cellStyle name="Normal 332 5 2 2" xfId="26747" xr:uid="{00000000-0005-0000-0000-00007B680000}"/>
    <cellStyle name="Normal 332 5 3" xfId="26748" xr:uid="{00000000-0005-0000-0000-00007C680000}"/>
    <cellStyle name="Normal 332 6" xfId="26749" xr:uid="{00000000-0005-0000-0000-00007D680000}"/>
    <cellStyle name="Normal 332 6 2" xfId="26750" xr:uid="{00000000-0005-0000-0000-00007E680000}"/>
    <cellStyle name="Normal 332 6 2 2" xfId="26751" xr:uid="{00000000-0005-0000-0000-00007F680000}"/>
    <cellStyle name="Normal 332 6 3" xfId="26752" xr:uid="{00000000-0005-0000-0000-000080680000}"/>
    <cellStyle name="Normal 332 7" xfId="26753" xr:uid="{00000000-0005-0000-0000-000081680000}"/>
    <cellStyle name="Normal 333" xfId="26754" xr:uid="{00000000-0005-0000-0000-000082680000}"/>
    <cellStyle name="Normal 333 2" xfId="26755" xr:uid="{00000000-0005-0000-0000-000083680000}"/>
    <cellStyle name="Normal 333 2 2" xfId="26756" xr:uid="{00000000-0005-0000-0000-000084680000}"/>
    <cellStyle name="Normal 333 2 2 2" xfId="26757" xr:uid="{00000000-0005-0000-0000-000085680000}"/>
    <cellStyle name="Normal 333 2 3" xfId="26758" xr:uid="{00000000-0005-0000-0000-000086680000}"/>
    <cellStyle name="Normal 333 2 3 2" xfId="26759" xr:uid="{00000000-0005-0000-0000-000087680000}"/>
    <cellStyle name="Normal 333 2 3 2 2" xfId="26760" xr:uid="{00000000-0005-0000-0000-000088680000}"/>
    <cellStyle name="Normal 333 2 3 3" xfId="26761" xr:uid="{00000000-0005-0000-0000-000089680000}"/>
    <cellStyle name="Normal 333 2 4" xfId="26762" xr:uid="{00000000-0005-0000-0000-00008A680000}"/>
    <cellStyle name="Normal 333 2 4 2" xfId="26763" xr:uid="{00000000-0005-0000-0000-00008B680000}"/>
    <cellStyle name="Normal 333 2 4 2 2" xfId="26764" xr:uid="{00000000-0005-0000-0000-00008C680000}"/>
    <cellStyle name="Normal 333 2 4 3" xfId="26765" xr:uid="{00000000-0005-0000-0000-00008D680000}"/>
    <cellStyle name="Normal 333 2 5" xfId="26766" xr:uid="{00000000-0005-0000-0000-00008E680000}"/>
    <cellStyle name="Normal 333 3" xfId="26767" xr:uid="{00000000-0005-0000-0000-00008F680000}"/>
    <cellStyle name="Normal 333 3 2" xfId="26768" xr:uid="{00000000-0005-0000-0000-000090680000}"/>
    <cellStyle name="Normal 333 3 2 2" xfId="26769" xr:uid="{00000000-0005-0000-0000-000091680000}"/>
    <cellStyle name="Normal 333 3 2 2 2" xfId="26770" xr:uid="{00000000-0005-0000-0000-000092680000}"/>
    <cellStyle name="Normal 333 3 2 3" xfId="26771" xr:uid="{00000000-0005-0000-0000-000093680000}"/>
    <cellStyle name="Normal 333 3 2 3 2" xfId="26772" xr:uid="{00000000-0005-0000-0000-000094680000}"/>
    <cellStyle name="Normal 333 3 2 3 2 2" xfId="26773" xr:uid="{00000000-0005-0000-0000-000095680000}"/>
    <cellStyle name="Normal 333 3 2 3 3" xfId="26774" xr:uid="{00000000-0005-0000-0000-000096680000}"/>
    <cellStyle name="Normal 333 3 2 4" xfId="26775" xr:uid="{00000000-0005-0000-0000-000097680000}"/>
    <cellStyle name="Normal 333 3 3" xfId="26776" xr:uid="{00000000-0005-0000-0000-000098680000}"/>
    <cellStyle name="Normal 333 3 3 2" xfId="26777" xr:uid="{00000000-0005-0000-0000-000099680000}"/>
    <cellStyle name="Normal 333 3 3 2 2" xfId="26778" xr:uid="{00000000-0005-0000-0000-00009A680000}"/>
    <cellStyle name="Normal 333 3 3 3" xfId="26779" xr:uid="{00000000-0005-0000-0000-00009B680000}"/>
    <cellStyle name="Normal 333 3 4" xfId="26780" xr:uid="{00000000-0005-0000-0000-00009C680000}"/>
    <cellStyle name="Normal 333 3 4 2" xfId="26781" xr:uid="{00000000-0005-0000-0000-00009D680000}"/>
    <cellStyle name="Normal 333 3 4 2 2" xfId="26782" xr:uid="{00000000-0005-0000-0000-00009E680000}"/>
    <cellStyle name="Normal 333 3 4 3" xfId="26783" xr:uid="{00000000-0005-0000-0000-00009F680000}"/>
    <cellStyle name="Normal 333 3 5" xfId="26784" xr:uid="{00000000-0005-0000-0000-0000A0680000}"/>
    <cellStyle name="Normal 333 3 5 2" xfId="26785" xr:uid="{00000000-0005-0000-0000-0000A1680000}"/>
    <cellStyle name="Normal 333 3 5 2 2" xfId="26786" xr:uid="{00000000-0005-0000-0000-0000A2680000}"/>
    <cellStyle name="Normal 333 3 5 3" xfId="26787" xr:uid="{00000000-0005-0000-0000-0000A3680000}"/>
    <cellStyle name="Normal 333 3 6" xfId="26788" xr:uid="{00000000-0005-0000-0000-0000A4680000}"/>
    <cellStyle name="Normal 333 4" xfId="26789" xr:uid="{00000000-0005-0000-0000-0000A5680000}"/>
    <cellStyle name="Normal 333 4 2" xfId="26790" xr:uid="{00000000-0005-0000-0000-0000A6680000}"/>
    <cellStyle name="Normal 333 4 2 2" xfId="26791" xr:uid="{00000000-0005-0000-0000-0000A7680000}"/>
    <cellStyle name="Normal 333 4 3" xfId="26792" xr:uid="{00000000-0005-0000-0000-0000A8680000}"/>
    <cellStyle name="Normal 333 5" xfId="26793" xr:uid="{00000000-0005-0000-0000-0000A9680000}"/>
    <cellStyle name="Normal 333 5 2" xfId="26794" xr:uid="{00000000-0005-0000-0000-0000AA680000}"/>
    <cellStyle name="Normal 333 5 2 2" xfId="26795" xr:uid="{00000000-0005-0000-0000-0000AB680000}"/>
    <cellStyle name="Normal 333 5 3" xfId="26796" xr:uid="{00000000-0005-0000-0000-0000AC680000}"/>
    <cellStyle name="Normal 333 6" xfId="26797" xr:uid="{00000000-0005-0000-0000-0000AD680000}"/>
    <cellStyle name="Normal 333 6 2" xfId="26798" xr:uid="{00000000-0005-0000-0000-0000AE680000}"/>
    <cellStyle name="Normal 333 6 2 2" xfId="26799" xr:uid="{00000000-0005-0000-0000-0000AF680000}"/>
    <cellStyle name="Normal 333 6 3" xfId="26800" xr:uid="{00000000-0005-0000-0000-0000B0680000}"/>
    <cellStyle name="Normal 333 7" xfId="26801" xr:uid="{00000000-0005-0000-0000-0000B1680000}"/>
    <cellStyle name="Normal 334" xfId="26802" xr:uid="{00000000-0005-0000-0000-0000B2680000}"/>
    <cellStyle name="Normal 334 2" xfId="26803" xr:uid="{00000000-0005-0000-0000-0000B3680000}"/>
    <cellStyle name="Normal 334 2 2" xfId="26804" xr:uid="{00000000-0005-0000-0000-0000B4680000}"/>
    <cellStyle name="Normal 334 2 2 2" xfId="26805" xr:uid="{00000000-0005-0000-0000-0000B5680000}"/>
    <cellStyle name="Normal 334 2 3" xfId="26806" xr:uid="{00000000-0005-0000-0000-0000B6680000}"/>
    <cellStyle name="Normal 334 2 3 2" xfId="26807" xr:uid="{00000000-0005-0000-0000-0000B7680000}"/>
    <cellStyle name="Normal 334 2 3 2 2" xfId="26808" xr:uid="{00000000-0005-0000-0000-0000B8680000}"/>
    <cellStyle name="Normal 334 2 3 3" xfId="26809" xr:uid="{00000000-0005-0000-0000-0000B9680000}"/>
    <cellStyle name="Normal 334 2 4" xfId="26810" xr:uid="{00000000-0005-0000-0000-0000BA680000}"/>
    <cellStyle name="Normal 334 2 4 2" xfId="26811" xr:uid="{00000000-0005-0000-0000-0000BB680000}"/>
    <cellStyle name="Normal 334 2 4 2 2" xfId="26812" xr:uid="{00000000-0005-0000-0000-0000BC680000}"/>
    <cellStyle name="Normal 334 2 4 3" xfId="26813" xr:uid="{00000000-0005-0000-0000-0000BD680000}"/>
    <cellStyle name="Normal 334 2 5" xfId="26814" xr:uid="{00000000-0005-0000-0000-0000BE680000}"/>
    <cellStyle name="Normal 334 3" xfId="26815" xr:uid="{00000000-0005-0000-0000-0000BF680000}"/>
    <cellStyle name="Normal 334 3 2" xfId="26816" xr:uid="{00000000-0005-0000-0000-0000C0680000}"/>
    <cellStyle name="Normal 334 3 2 2" xfId="26817" xr:uid="{00000000-0005-0000-0000-0000C1680000}"/>
    <cellStyle name="Normal 334 3 2 2 2" xfId="26818" xr:uid="{00000000-0005-0000-0000-0000C2680000}"/>
    <cellStyle name="Normal 334 3 2 3" xfId="26819" xr:uid="{00000000-0005-0000-0000-0000C3680000}"/>
    <cellStyle name="Normal 334 3 2 3 2" xfId="26820" xr:uid="{00000000-0005-0000-0000-0000C4680000}"/>
    <cellStyle name="Normal 334 3 2 3 2 2" xfId="26821" xr:uid="{00000000-0005-0000-0000-0000C5680000}"/>
    <cellStyle name="Normal 334 3 2 3 3" xfId="26822" xr:uid="{00000000-0005-0000-0000-0000C6680000}"/>
    <cellStyle name="Normal 334 3 2 4" xfId="26823" xr:uid="{00000000-0005-0000-0000-0000C7680000}"/>
    <cellStyle name="Normal 334 3 3" xfId="26824" xr:uid="{00000000-0005-0000-0000-0000C8680000}"/>
    <cellStyle name="Normal 334 3 3 2" xfId="26825" xr:uid="{00000000-0005-0000-0000-0000C9680000}"/>
    <cellStyle name="Normal 334 3 3 2 2" xfId="26826" xr:uid="{00000000-0005-0000-0000-0000CA680000}"/>
    <cellStyle name="Normal 334 3 3 3" xfId="26827" xr:uid="{00000000-0005-0000-0000-0000CB680000}"/>
    <cellStyle name="Normal 334 3 4" xfId="26828" xr:uid="{00000000-0005-0000-0000-0000CC680000}"/>
    <cellStyle name="Normal 334 3 4 2" xfId="26829" xr:uid="{00000000-0005-0000-0000-0000CD680000}"/>
    <cellStyle name="Normal 334 3 4 2 2" xfId="26830" xr:uid="{00000000-0005-0000-0000-0000CE680000}"/>
    <cellStyle name="Normal 334 3 4 3" xfId="26831" xr:uid="{00000000-0005-0000-0000-0000CF680000}"/>
    <cellStyle name="Normal 334 3 5" xfId="26832" xr:uid="{00000000-0005-0000-0000-0000D0680000}"/>
    <cellStyle name="Normal 334 3 5 2" xfId="26833" xr:uid="{00000000-0005-0000-0000-0000D1680000}"/>
    <cellStyle name="Normal 334 3 5 2 2" xfId="26834" xr:uid="{00000000-0005-0000-0000-0000D2680000}"/>
    <cellStyle name="Normal 334 3 5 3" xfId="26835" xr:uid="{00000000-0005-0000-0000-0000D3680000}"/>
    <cellStyle name="Normal 334 3 6" xfId="26836" xr:uid="{00000000-0005-0000-0000-0000D4680000}"/>
    <cellStyle name="Normal 334 4" xfId="26837" xr:uid="{00000000-0005-0000-0000-0000D5680000}"/>
    <cellStyle name="Normal 334 4 2" xfId="26838" xr:uid="{00000000-0005-0000-0000-0000D6680000}"/>
    <cellStyle name="Normal 334 4 2 2" xfId="26839" xr:uid="{00000000-0005-0000-0000-0000D7680000}"/>
    <cellStyle name="Normal 334 4 3" xfId="26840" xr:uid="{00000000-0005-0000-0000-0000D8680000}"/>
    <cellStyle name="Normal 334 5" xfId="26841" xr:uid="{00000000-0005-0000-0000-0000D9680000}"/>
    <cellStyle name="Normal 334 5 2" xfId="26842" xr:uid="{00000000-0005-0000-0000-0000DA680000}"/>
    <cellStyle name="Normal 334 5 2 2" xfId="26843" xr:uid="{00000000-0005-0000-0000-0000DB680000}"/>
    <cellStyle name="Normal 334 5 3" xfId="26844" xr:uid="{00000000-0005-0000-0000-0000DC680000}"/>
    <cellStyle name="Normal 334 6" xfId="26845" xr:uid="{00000000-0005-0000-0000-0000DD680000}"/>
    <cellStyle name="Normal 334 6 2" xfId="26846" xr:uid="{00000000-0005-0000-0000-0000DE680000}"/>
    <cellStyle name="Normal 334 6 2 2" xfId="26847" xr:uid="{00000000-0005-0000-0000-0000DF680000}"/>
    <cellStyle name="Normal 334 6 3" xfId="26848" xr:uid="{00000000-0005-0000-0000-0000E0680000}"/>
    <cellStyle name="Normal 334 7" xfId="26849" xr:uid="{00000000-0005-0000-0000-0000E1680000}"/>
    <cellStyle name="Normal 335" xfId="26850" xr:uid="{00000000-0005-0000-0000-0000E2680000}"/>
    <cellStyle name="Normal 335 2" xfId="26851" xr:uid="{00000000-0005-0000-0000-0000E3680000}"/>
    <cellStyle name="Normal 335 2 2" xfId="26852" xr:uid="{00000000-0005-0000-0000-0000E4680000}"/>
    <cellStyle name="Normal 335 2 2 2" xfId="26853" xr:uid="{00000000-0005-0000-0000-0000E5680000}"/>
    <cellStyle name="Normal 335 2 3" xfId="26854" xr:uid="{00000000-0005-0000-0000-0000E6680000}"/>
    <cellStyle name="Normal 335 2 3 2" xfId="26855" xr:uid="{00000000-0005-0000-0000-0000E7680000}"/>
    <cellStyle name="Normal 335 2 3 2 2" xfId="26856" xr:uid="{00000000-0005-0000-0000-0000E8680000}"/>
    <cellStyle name="Normal 335 2 3 3" xfId="26857" xr:uid="{00000000-0005-0000-0000-0000E9680000}"/>
    <cellStyle name="Normal 335 2 4" xfId="26858" xr:uid="{00000000-0005-0000-0000-0000EA680000}"/>
    <cellStyle name="Normal 335 2 4 2" xfId="26859" xr:uid="{00000000-0005-0000-0000-0000EB680000}"/>
    <cellStyle name="Normal 335 2 4 2 2" xfId="26860" xr:uid="{00000000-0005-0000-0000-0000EC680000}"/>
    <cellStyle name="Normal 335 2 4 3" xfId="26861" xr:uid="{00000000-0005-0000-0000-0000ED680000}"/>
    <cellStyle name="Normal 335 2 5" xfId="26862" xr:uid="{00000000-0005-0000-0000-0000EE680000}"/>
    <cellStyle name="Normal 335 3" xfId="26863" xr:uid="{00000000-0005-0000-0000-0000EF680000}"/>
    <cellStyle name="Normal 335 3 2" xfId="26864" xr:uid="{00000000-0005-0000-0000-0000F0680000}"/>
    <cellStyle name="Normal 335 3 2 2" xfId="26865" xr:uid="{00000000-0005-0000-0000-0000F1680000}"/>
    <cellStyle name="Normal 335 3 2 2 2" xfId="26866" xr:uid="{00000000-0005-0000-0000-0000F2680000}"/>
    <cellStyle name="Normal 335 3 2 3" xfId="26867" xr:uid="{00000000-0005-0000-0000-0000F3680000}"/>
    <cellStyle name="Normal 335 3 2 3 2" xfId="26868" xr:uid="{00000000-0005-0000-0000-0000F4680000}"/>
    <cellStyle name="Normal 335 3 2 3 2 2" xfId="26869" xr:uid="{00000000-0005-0000-0000-0000F5680000}"/>
    <cellStyle name="Normal 335 3 2 3 3" xfId="26870" xr:uid="{00000000-0005-0000-0000-0000F6680000}"/>
    <cellStyle name="Normal 335 3 2 4" xfId="26871" xr:uid="{00000000-0005-0000-0000-0000F7680000}"/>
    <cellStyle name="Normal 335 3 3" xfId="26872" xr:uid="{00000000-0005-0000-0000-0000F8680000}"/>
    <cellStyle name="Normal 335 3 3 2" xfId="26873" xr:uid="{00000000-0005-0000-0000-0000F9680000}"/>
    <cellStyle name="Normal 335 3 3 2 2" xfId="26874" xr:uid="{00000000-0005-0000-0000-0000FA680000}"/>
    <cellStyle name="Normal 335 3 3 3" xfId="26875" xr:uid="{00000000-0005-0000-0000-0000FB680000}"/>
    <cellStyle name="Normal 335 3 4" xfId="26876" xr:uid="{00000000-0005-0000-0000-0000FC680000}"/>
    <cellStyle name="Normal 335 3 4 2" xfId="26877" xr:uid="{00000000-0005-0000-0000-0000FD680000}"/>
    <cellStyle name="Normal 335 3 4 2 2" xfId="26878" xr:uid="{00000000-0005-0000-0000-0000FE680000}"/>
    <cellStyle name="Normal 335 3 4 3" xfId="26879" xr:uid="{00000000-0005-0000-0000-0000FF680000}"/>
    <cellStyle name="Normal 335 3 5" xfId="26880" xr:uid="{00000000-0005-0000-0000-000000690000}"/>
    <cellStyle name="Normal 335 3 5 2" xfId="26881" xr:uid="{00000000-0005-0000-0000-000001690000}"/>
    <cellStyle name="Normal 335 3 5 2 2" xfId="26882" xr:uid="{00000000-0005-0000-0000-000002690000}"/>
    <cellStyle name="Normal 335 3 5 3" xfId="26883" xr:uid="{00000000-0005-0000-0000-000003690000}"/>
    <cellStyle name="Normal 335 3 6" xfId="26884" xr:uid="{00000000-0005-0000-0000-000004690000}"/>
    <cellStyle name="Normal 335 4" xfId="26885" xr:uid="{00000000-0005-0000-0000-000005690000}"/>
    <cellStyle name="Normal 335 4 2" xfId="26886" xr:uid="{00000000-0005-0000-0000-000006690000}"/>
    <cellStyle name="Normal 335 4 2 2" xfId="26887" xr:uid="{00000000-0005-0000-0000-000007690000}"/>
    <cellStyle name="Normal 335 4 3" xfId="26888" xr:uid="{00000000-0005-0000-0000-000008690000}"/>
    <cellStyle name="Normal 335 5" xfId="26889" xr:uid="{00000000-0005-0000-0000-000009690000}"/>
    <cellStyle name="Normal 335 5 2" xfId="26890" xr:uid="{00000000-0005-0000-0000-00000A690000}"/>
    <cellStyle name="Normal 335 5 2 2" xfId="26891" xr:uid="{00000000-0005-0000-0000-00000B690000}"/>
    <cellStyle name="Normal 335 5 3" xfId="26892" xr:uid="{00000000-0005-0000-0000-00000C690000}"/>
    <cellStyle name="Normal 335 6" xfId="26893" xr:uid="{00000000-0005-0000-0000-00000D690000}"/>
    <cellStyle name="Normal 335 6 2" xfId="26894" xr:uid="{00000000-0005-0000-0000-00000E690000}"/>
    <cellStyle name="Normal 335 6 2 2" xfId="26895" xr:uid="{00000000-0005-0000-0000-00000F690000}"/>
    <cellStyle name="Normal 335 6 3" xfId="26896" xr:uid="{00000000-0005-0000-0000-000010690000}"/>
    <cellStyle name="Normal 335 7" xfId="26897" xr:uid="{00000000-0005-0000-0000-000011690000}"/>
    <cellStyle name="Normal 336" xfId="26898" xr:uid="{00000000-0005-0000-0000-000012690000}"/>
    <cellStyle name="Normal 336 2" xfId="26899" xr:uid="{00000000-0005-0000-0000-000013690000}"/>
    <cellStyle name="Normal 336 2 2" xfId="26900" xr:uid="{00000000-0005-0000-0000-000014690000}"/>
    <cellStyle name="Normal 336 2 2 2" xfId="26901" xr:uid="{00000000-0005-0000-0000-000015690000}"/>
    <cellStyle name="Normal 336 2 3" xfId="26902" xr:uid="{00000000-0005-0000-0000-000016690000}"/>
    <cellStyle name="Normal 336 2 3 2" xfId="26903" xr:uid="{00000000-0005-0000-0000-000017690000}"/>
    <cellStyle name="Normal 336 2 3 2 2" xfId="26904" xr:uid="{00000000-0005-0000-0000-000018690000}"/>
    <cellStyle name="Normal 336 2 3 3" xfId="26905" xr:uid="{00000000-0005-0000-0000-000019690000}"/>
    <cellStyle name="Normal 336 2 4" xfId="26906" xr:uid="{00000000-0005-0000-0000-00001A690000}"/>
    <cellStyle name="Normal 336 2 4 2" xfId="26907" xr:uid="{00000000-0005-0000-0000-00001B690000}"/>
    <cellStyle name="Normal 336 2 4 2 2" xfId="26908" xr:uid="{00000000-0005-0000-0000-00001C690000}"/>
    <cellStyle name="Normal 336 2 4 3" xfId="26909" xr:uid="{00000000-0005-0000-0000-00001D690000}"/>
    <cellStyle name="Normal 336 2 5" xfId="26910" xr:uid="{00000000-0005-0000-0000-00001E690000}"/>
    <cellStyle name="Normal 336 3" xfId="26911" xr:uid="{00000000-0005-0000-0000-00001F690000}"/>
    <cellStyle name="Normal 336 3 2" xfId="26912" xr:uid="{00000000-0005-0000-0000-000020690000}"/>
    <cellStyle name="Normal 336 3 2 2" xfId="26913" xr:uid="{00000000-0005-0000-0000-000021690000}"/>
    <cellStyle name="Normal 336 3 2 2 2" xfId="26914" xr:uid="{00000000-0005-0000-0000-000022690000}"/>
    <cellStyle name="Normal 336 3 2 3" xfId="26915" xr:uid="{00000000-0005-0000-0000-000023690000}"/>
    <cellStyle name="Normal 336 3 2 3 2" xfId="26916" xr:uid="{00000000-0005-0000-0000-000024690000}"/>
    <cellStyle name="Normal 336 3 2 3 2 2" xfId="26917" xr:uid="{00000000-0005-0000-0000-000025690000}"/>
    <cellStyle name="Normal 336 3 2 3 3" xfId="26918" xr:uid="{00000000-0005-0000-0000-000026690000}"/>
    <cellStyle name="Normal 336 3 2 4" xfId="26919" xr:uid="{00000000-0005-0000-0000-000027690000}"/>
    <cellStyle name="Normal 336 3 3" xfId="26920" xr:uid="{00000000-0005-0000-0000-000028690000}"/>
    <cellStyle name="Normal 336 3 3 2" xfId="26921" xr:uid="{00000000-0005-0000-0000-000029690000}"/>
    <cellStyle name="Normal 336 3 3 2 2" xfId="26922" xr:uid="{00000000-0005-0000-0000-00002A690000}"/>
    <cellStyle name="Normal 336 3 3 3" xfId="26923" xr:uid="{00000000-0005-0000-0000-00002B690000}"/>
    <cellStyle name="Normal 336 3 4" xfId="26924" xr:uid="{00000000-0005-0000-0000-00002C690000}"/>
    <cellStyle name="Normal 336 3 4 2" xfId="26925" xr:uid="{00000000-0005-0000-0000-00002D690000}"/>
    <cellStyle name="Normal 336 3 4 2 2" xfId="26926" xr:uid="{00000000-0005-0000-0000-00002E690000}"/>
    <cellStyle name="Normal 336 3 4 3" xfId="26927" xr:uid="{00000000-0005-0000-0000-00002F690000}"/>
    <cellStyle name="Normal 336 3 5" xfId="26928" xr:uid="{00000000-0005-0000-0000-000030690000}"/>
    <cellStyle name="Normal 336 3 5 2" xfId="26929" xr:uid="{00000000-0005-0000-0000-000031690000}"/>
    <cellStyle name="Normal 336 3 5 2 2" xfId="26930" xr:uid="{00000000-0005-0000-0000-000032690000}"/>
    <cellStyle name="Normal 336 3 5 3" xfId="26931" xr:uid="{00000000-0005-0000-0000-000033690000}"/>
    <cellStyle name="Normal 336 3 6" xfId="26932" xr:uid="{00000000-0005-0000-0000-000034690000}"/>
    <cellStyle name="Normal 336 4" xfId="26933" xr:uid="{00000000-0005-0000-0000-000035690000}"/>
    <cellStyle name="Normal 336 4 2" xfId="26934" xr:uid="{00000000-0005-0000-0000-000036690000}"/>
    <cellStyle name="Normal 336 4 2 2" xfId="26935" xr:uid="{00000000-0005-0000-0000-000037690000}"/>
    <cellStyle name="Normal 336 4 3" xfId="26936" xr:uid="{00000000-0005-0000-0000-000038690000}"/>
    <cellStyle name="Normal 336 5" xfId="26937" xr:uid="{00000000-0005-0000-0000-000039690000}"/>
    <cellStyle name="Normal 336 5 2" xfId="26938" xr:uid="{00000000-0005-0000-0000-00003A690000}"/>
    <cellStyle name="Normal 336 5 2 2" xfId="26939" xr:uid="{00000000-0005-0000-0000-00003B690000}"/>
    <cellStyle name="Normal 336 5 3" xfId="26940" xr:uid="{00000000-0005-0000-0000-00003C690000}"/>
    <cellStyle name="Normal 336 6" xfId="26941" xr:uid="{00000000-0005-0000-0000-00003D690000}"/>
    <cellStyle name="Normal 336 6 2" xfId="26942" xr:uid="{00000000-0005-0000-0000-00003E690000}"/>
    <cellStyle name="Normal 336 6 2 2" xfId="26943" xr:uid="{00000000-0005-0000-0000-00003F690000}"/>
    <cellStyle name="Normal 336 6 3" xfId="26944" xr:uid="{00000000-0005-0000-0000-000040690000}"/>
    <cellStyle name="Normal 336 7" xfId="26945" xr:uid="{00000000-0005-0000-0000-000041690000}"/>
    <cellStyle name="Normal 337" xfId="26946" xr:uid="{00000000-0005-0000-0000-000042690000}"/>
    <cellStyle name="Normal 337 2" xfId="26947" xr:uid="{00000000-0005-0000-0000-000043690000}"/>
    <cellStyle name="Normal 337 2 2" xfId="26948" xr:uid="{00000000-0005-0000-0000-000044690000}"/>
    <cellStyle name="Normal 337 2 2 2" xfId="26949" xr:uid="{00000000-0005-0000-0000-000045690000}"/>
    <cellStyle name="Normal 337 2 3" xfId="26950" xr:uid="{00000000-0005-0000-0000-000046690000}"/>
    <cellStyle name="Normal 337 2 3 2" xfId="26951" xr:uid="{00000000-0005-0000-0000-000047690000}"/>
    <cellStyle name="Normal 337 2 3 2 2" xfId="26952" xr:uid="{00000000-0005-0000-0000-000048690000}"/>
    <cellStyle name="Normal 337 2 3 3" xfId="26953" xr:uid="{00000000-0005-0000-0000-000049690000}"/>
    <cellStyle name="Normal 337 2 4" xfId="26954" xr:uid="{00000000-0005-0000-0000-00004A690000}"/>
    <cellStyle name="Normal 337 2 4 2" xfId="26955" xr:uid="{00000000-0005-0000-0000-00004B690000}"/>
    <cellStyle name="Normal 337 2 4 2 2" xfId="26956" xr:uid="{00000000-0005-0000-0000-00004C690000}"/>
    <cellStyle name="Normal 337 2 4 3" xfId="26957" xr:uid="{00000000-0005-0000-0000-00004D690000}"/>
    <cellStyle name="Normal 337 2 5" xfId="26958" xr:uid="{00000000-0005-0000-0000-00004E690000}"/>
    <cellStyle name="Normal 337 3" xfId="26959" xr:uid="{00000000-0005-0000-0000-00004F690000}"/>
    <cellStyle name="Normal 337 3 2" xfId="26960" xr:uid="{00000000-0005-0000-0000-000050690000}"/>
    <cellStyle name="Normal 337 3 2 2" xfId="26961" xr:uid="{00000000-0005-0000-0000-000051690000}"/>
    <cellStyle name="Normal 337 3 2 2 2" xfId="26962" xr:uid="{00000000-0005-0000-0000-000052690000}"/>
    <cellStyle name="Normal 337 3 2 3" xfId="26963" xr:uid="{00000000-0005-0000-0000-000053690000}"/>
    <cellStyle name="Normal 337 3 2 3 2" xfId="26964" xr:uid="{00000000-0005-0000-0000-000054690000}"/>
    <cellStyle name="Normal 337 3 2 3 2 2" xfId="26965" xr:uid="{00000000-0005-0000-0000-000055690000}"/>
    <cellStyle name="Normal 337 3 2 3 3" xfId="26966" xr:uid="{00000000-0005-0000-0000-000056690000}"/>
    <cellStyle name="Normal 337 3 2 4" xfId="26967" xr:uid="{00000000-0005-0000-0000-000057690000}"/>
    <cellStyle name="Normal 337 3 3" xfId="26968" xr:uid="{00000000-0005-0000-0000-000058690000}"/>
    <cellStyle name="Normal 337 3 3 2" xfId="26969" xr:uid="{00000000-0005-0000-0000-000059690000}"/>
    <cellStyle name="Normal 337 3 3 2 2" xfId="26970" xr:uid="{00000000-0005-0000-0000-00005A690000}"/>
    <cellStyle name="Normal 337 3 3 3" xfId="26971" xr:uid="{00000000-0005-0000-0000-00005B690000}"/>
    <cellStyle name="Normal 337 3 4" xfId="26972" xr:uid="{00000000-0005-0000-0000-00005C690000}"/>
    <cellStyle name="Normal 337 3 4 2" xfId="26973" xr:uid="{00000000-0005-0000-0000-00005D690000}"/>
    <cellStyle name="Normal 337 3 4 2 2" xfId="26974" xr:uid="{00000000-0005-0000-0000-00005E690000}"/>
    <cellStyle name="Normal 337 3 4 3" xfId="26975" xr:uid="{00000000-0005-0000-0000-00005F690000}"/>
    <cellStyle name="Normal 337 3 5" xfId="26976" xr:uid="{00000000-0005-0000-0000-000060690000}"/>
    <cellStyle name="Normal 337 3 5 2" xfId="26977" xr:uid="{00000000-0005-0000-0000-000061690000}"/>
    <cellStyle name="Normal 337 3 5 2 2" xfId="26978" xr:uid="{00000000-0005-0000-0000-000062690000}"/>
    <cellStyle name="Normal 337 3 5 3" xfId="26979" xr:uid="{00000000-0005-0000-0000-000063690000}"/>
    <cellStyle name="Normal 337 3 6" xfId="26980" xr:uid="{00000000-0005-0000-0000-000064690000}"/>
    <cellStyle name="Normal 337 4" xfId="26981" xr:uid="{00000000-0005-0000-0000-000065690000}"/>
    <cellStyle name="Normal 337 4 2" xfId="26982" xr:uid="{00000000-0005-0000-0000-000066690000}"/>
    <cellStyle name="Normal 337 4 2 2" xfId="26983" xr:uid="{00000000-0005-0000-0000-000067690000}"/>
    <cellStyle name="Normal 337 4 3" xfId="26984" xr:uid="{00000000-0005-0000-0000-000068690000}"/>
    <cellStyle name="Normal 337 5" xfId="26985" xr:uid="{00000000-0005-0000-0000-000069690000}"/>
    <cellStyle name="Normal 337 5 2" xfId="26986" xr:uid="{00000000-0005-0000-0000-00006A690000}"/>
    <cellStyle name="Normal 337 5 2 2" xfId="26987" xr:uid="{00000000-0005-0000-0000-00006B690000}"/>
    <cellStyle name="Normal 337 5 3" xfId="26988" xr:uid="{00000000-0005-0000-0000-00006C690000}"/>
    <cellStyle name="Normal 337 6" xfId="26989" xr:uid="{00000000-0005-0000-0000-00006D690000}"/>
    <cellStyle name="Normal 337 6 2" xfId="26990" xr:uid="{00000000-0005-0000-0000-00006E690000}"/>
    <cellStyle name="Normal 337 6 2 2" xfId="26991" xr:uid="{00000000-0005-0000-0000-00006F690000}"/>
    <cellStyle name="Normal 337 6 3" xfId="26992" xr:uid="{00000000-0005-0000-0000-000070690000}"/>
    <cellStyle name="Normal 337 7" xfId="26993" xr:uid="{00000000-0005-0000-0000-000071690000}"/>
    <cellStyle name="Normal 338" xfId="65" xr:uid="{00000000-0005-0000-0000-000041000000}"/>
    <cellStyle name="Normal 338 2" xfId="26994" xr:uid="{00000000-0005-0000-0000-000072690000}"/>
    <cellStyle name="Normal 338 2 2" xfId="26995" xr:uid="{00000000-0005-0000-0000-000073690000}"/>
    <cellStyle name="Normal 338 2 2 2" xfId="26996" xr:uid="{00000000-0005-0000-0000-000074690000}"/>
    <cellStyle name="Normal 338 2 3" xfId="26997" xr:uid="{00000000-0005-0000-0000-000075690000}"/>
    <cellStyle name="Normal 338 2 3 2" xfId="26998" xr:uid="{00000000-0005-0000-0000-000076690000}"/>
    <cellStyle name="Normal 338 2 3 2 2" xfId="26999" xr:uid="{00000000-0005-0000-0000-000077690000}"/>
    <cellStyle name="Normal 338 2 3 3" xfId="27000" xr:uid="{00000000-0005-0000-0000-000078690000}"/>
    <cellStyle name="Normal 338 2 4" xfId="27001" xr:uid="{00000000-0005-0000-0000-000079690000}"/>
    <cellStyle name="Normal 338 2 4 2" xfId="27002" xr:uid="{00000000-0005-0000-0000-00007A690000}"/>
    <cellStyle name="Normal 338 2 4 2 2" xfId="27003" xr:uid="{00000000-0005-0000-0000-00007B690000}"/>
    <cellStyle name="Normal 338 2 4 3" xfId="27004" xr:uid="{00000000-0005-0000-0000-00007C690000}"/>
    <cellStyle name="Normal 338 2 5" xfId="27005" xr:uid="{00000000-0005-0000-0000-00007D690000}"/>
    <cellStyle name="Normal 338 3" xfId="27006" xr:uid="{00000000-0005-0000-0000-00007E690000}"/>
    <cellStyle name="Normal 338 3 2" xfId="27007" xr:uid="{00000000-0005-0000-0000-00007F690000}"/>
    <cellStyle name="Normal 338 3 2 2" xfId="27008" xr:uid="{00000000-0005-0000-0000-000080690000}"/>
    <cellStyle name="Normal 338 3 2 2 2" xfId="27009" xr:uid="{00000000-0005-0000-0000-000081690000}"/>
    <cellStyle name="Normal 338 3 2 3" xfId="27010" xr:uid="{00000000-0005-0000-0000-000082690000}"/>
    <cellStyle name="Normal 338 3 2 3 2" xfId="27011" xr:uid="{00000000-0005-0000-0000-000083690000}"/>
    <cellStyle name="Normal 338 3 2 3 2 2" xfId="27012" xr:uid="{00000000-0005-0000-0000-000084690000}"/>
    <cellStyle name="Normal 338 3 2 3 3" xfId="27013" xr:uid="{00000000-0005-0000-0000-000085690000}"/>
    <cellStyle name="Normal 338 3 2 4" xfId="27014" xr:uid="{00000000-0005-0000-0000-000086690000}"/>
    <cellStyle name="Normal 338 3 3" xfId="27015" xr:uid="{00000000-0005-0000-0000-000087690000}"/>
    <cellStyle name="Normal 338 3 3 2" xfId="27016" xr:uid="{00000000-0005-0000-0000-000088690000}"/>
    <cellStyle name="Normal 338 3 3 2 2" xfId="27017" xr:uid="{00000000-0005-0000-0000-000089690000}"/>
    <cellStyle name="Normal 338 3 3 3" xfId="27018" xr:uid="{00000000-0005-0000-0000-00008A690000}"/>
    <cellStyle name="Normal 338 3 4" xfId="27019" xr:uid="{00000000-0005-0000-0000-00008B690000}"/>
    <cellStyle name="Normal 338 3 4 2" xfId="27020" xr:uid="{00000000-0005-0000-0000-00008C690000}"/>
    <cellStyle name="Normal 338 3 4 2 2" xfId="27021" xr:uid="{00000000-0005-0000-0000-00008D690000}"/>
    <cellStyle name="Normal 338 3 4 3" xfId="27022" xr:uid="{00000000-0005-0000-0000-00008E690000}"/>
    <cellStyle name="Normal 338 3 5" xfId="27023" xr:uid="{00000000-0005-0000-0000-00008F690000}"/>
    <cellStyle name="Normal 338 3 5 2" xfId="27024" xr:uid="{00000000-0005-0000-0000-000090690000}"/>
    <cellStyle name="Normal 338 3 5 2 2" xfId="27025" xr:uid="{00000000-0005-0000-0000-000091690000}"/>
    <cellStyle name="Normal 338 3 5 3" xfId="27026" xr:uid="{00000000-0005-0000-0000-000092690000}"/>
    <cellStyle name="Normal 338 3 6" xfId="27027" xr:uid="{00000000-0005-0000-0000-000093690000}"/>
    <cellStyle name="Normal 338 4" xfId="27028" xr:uid="{00000000-0005-0000-0000-000094690000}"/>
    <cellStyle name="Normal 338 4 2" xfId="27029" xr:uid="{00000000-0005-0000-0000-000095690000}"/>
    <cellStyle name="Normal 338 4 2 2" xfId="27030" xr:uid="{00000000-0005-0000-0000-000096690000}"/>
    <cellStyle name="Normal 338 4 3" xfId="27031" xr:uid="{00000000-0005-0000-0000-000097690000}"/>
    <cellStyle name="Normal 338 5" xfId="27032" xr:uid="{00000000-0005-0000-0000-000098690000}"/>
    <cellStyle name="Normal 338 5 2" xfId="27033" xr:uid="{00000000-0005-0000-0000-000099690000}"/>
    <cellStyle name="Normal 338 5 2 2" xfId="27034" xr:uid="{00000000-0005-0000-0000-00009A690000}"/>
    <cellStyle name="Normal 338 5 3" xfId="27035" xr:uid="{00000000-0005-0000-0000-00009B690000}"/>
    <cellStyle name="Normal 338 6" xfId="27036" xr:uid="{00000000-0005-0000-0000-00009C690000}"/>
    <cellStyle name="Normal 338 6 2" xfId="27037" xr:uid="{00000000-0005-0000-0000-00009D690000}"/>
    <cellStyle name="Normal 338 6 2 2" xfId="27038" xr:uid="{00000000-0005-0000-0000-00009E690000}"/>
    <cellStyle name="Normal 338 6 3" xfId="27039" xr:uid="{00000000-0005-0000-0000-00009F690000}"/>
    <cellStyle name="Normal 338 7" xfId="27040" xr:uid="{00000000-0005-0000-0000-0000A0690000}"/>
    <cellStyle name="Normal 339" xfId="27041" xr:uid="{00000000-0005-0000-0000-0000A1690000}"/>
    <cellStyle name="Normal 339 2" xfId="27042" xr:uid="{00000000-0005-0000-0000-0000A2690000}"/>
    <cellStyle name="Normal 339 2 2" xfId="27043" xr:uid="{00000000-0005-0000-0000-0000A3690000}"/>
    <cellStyle name="Normal 339 2 2 2" xfId="27044" xr:uid="{00000000-0005-0000-0000-0000A4690000}"/>
    <cellStyle name="Normal 339 2 3" xfId="27045" xr:uid="{00000000-0005-0000-0000-0000A5690000}"/>
    <cellStyle name="Normal 339 2 3 2" xfId="27046" xr:uid="{00000000-0005-0000-0000-0000A6690000}"/>
    <cellStyle name="Normal 339 2 3 2 2" xfId="27047" xr:uid="{00000000-0005-0000-0000-0000A7690000}"/>
    <cellStyle name="Normal 339 2 3 3" xfId="27048" xr:uid="{00000000-0005-0000-0000-0000A8690000}"/>
    <cellStyle name="Normal 339 2 4" xfId="27049" xr:uid="{00000000-0005-0000-0000-0000A9690000}"/>
    <cellStyle name="Normal 339 2 4 2" xfId="27050" xr:uid="{00000000-0005-0000-0000-0000AA690000}"/>
    <cellStyle name="Normal 339 2 4 2 2" xfId="27051" xr:uid="{00000000-0005-0000-0000-0000AB690000}"/>
    <cellStyle name="Normal 339 2 4 3" xfId="27052" xr:uid="{00000000-0005-0000-0000-0000AC690000}"/>
    <cellStyle name="Normal 339 2 5" xfId="27053" xr:uid="{00000000-0005-0000-0000-0000AD690000}"/>
    <cellStyle name="Normal 339 3" xfId="27054" xr:uid="{00000000-0005-0000-0000-0000AE690000}"/>
    <cellStyle name="Normal 339 3 2" xfId="27055" xr:uid="{00000000-0005-0000-0000-0000AF690000}"/>
    <cellStyle name="Normal 339 3 2 2" xfId="27056" xr:uid="{00000000-0005-0000-0000-0000B0690000}"/>
    <cellStyle name="Normal 339 3 2 2 2" xfId="27057" xr:uid="{00000000-0005-0000-0000-0000B1690000}"/>
    <cellStyle name="Normal 339 3 2 3" xfId="27058" xr:uid="{00000000-0005-0000-0000-0000B2690000}"/>
    <cellStyle name="Normal 339 3 2 3 2" xfId="27059" xr:uid="{00000000-0005-0000-0000-0000B3690000}"/>
    <cellStyle name="Normal 339 3 2 3 2 2" xfId="27060" xr:uid="{00000000-0005-0000-0000-0000B4690000}"/>
    <cellStyle name="Normal 339 3 2 3 3" xfId="27061" xr:uid="{00000000-0005-0000-0000-0000B5690000}"/>
    <cellStyle name="Normal 339 3 2 4" xfId="27062" xr:uid="{00000000-0005-0000-0000-0000B6690000}"/>
    <cellStyle name="Normal 339 3 3" xfId="27063" xr:uid="{00000000-0005-0000-0000-0000B7690000}"/>
    <cellStyle name="Normal 339 3 3 2" xfId="27064" xr:uid="{00000000-0005-0000-0000-0000B8690000}"/>
    <cellStyle name="Normal 339 3 3 2 2" xfId="27065" xr:uid="{00000000-0005-0000-0000-0000B9690000}"/>
    <cellStyle name="Normal 339 3 3 3" xfId="27066" xr:uid="{00000000-0005-0000-0000-0000BA690000}"/>
    <cellStyle name="Normal 339 3 4" xfId="27067" xr:uid="{00000000-0005-0000-0000-0000BB690000}"/>
    <cellStyle name="Normal 339 3 4 2" xfId="27068" xr:uid="{00000000-0005-0000-0000-0000BC690000}"/>
    <cellStyle name="Normal 339 3 4 2 2" xfId="27069" xr:uid="{00000000-0005-0000-0000-0000BD690000}"/>
    <cellStyle name="Normal 339 3 4 3" xfId="27070" xr:uid="{00000000-0005-0000-0000-0000BE690000}"/>
    <cellStyle name="Normal 339 3 5" xfId="27071" xr:uid="{00000000-0005-0000-0000-0000BF690000}"/>
    <cellStyle name="Normal 339 3 5 2" xfId="27072" xr:uid="{00000000-0005-0000-0000-0000C0690000}"/>
    <cellStyle name="Normal 339 3 5 2 2" xfId="27073" xr:uid="{00000000-0005-0000-0000-0000C1690000}"/>
    <cellStyle name="Normal 339 3 5 3" xfId="27074" xr:uid="{00000000-0005-0000-0000-0000C2690000}"/>
    <cellStyle name="Normal 339 3 6" xfId="27075" xr:uid="{00000000-0005-0000-0000-0000C3690000}"/>
    <cellStyle name="Normal 339 4" xfId="27076" xr:uid="{00000000-0005-0000-0000-0000C4690000}"/>
    <cellStyle name="Normal 339 4 2" xfId="27077" xr:uid="{00000000-0005-0000-0000-0000C5690000}"/>
    <cellStyle name="Normal 339 4 2 2" xfId="27078" xr:uid="{00000000-0005-0000-0000-0000C6690000}"/>
    <cellStyle name="Normal 339 4 3" xfId="27079" xr:uid="{00000000-0005-0000-0000-0000C7690000}"/>
    <cellStyle name="Normal 339 5" xfId="27080" xr:uid="{00000000-0005-0000-0000-0000C8690000}"/>
    <cellStyle name="Normal 339 5 2" xfId="27081" xr:uid="{00000000-0005-0000-0000-0000C9690000}"/>
    <cellStyle name="Normal 339 5 2 2" xfId="27082" xr:uid="{00000000-0005-0000-0000-0000CA690000}"/>
    <cellStyle name="Normal 339 5 3" xfId="27083" xr:uid="{00000000-0005-0000-0000-0000CB690000}"/>
    <cellStyle name="Normal 339 6" xfId="27084" xr:uid="{00000000-0005-0000-0000-0000CC690000}"/>
    <cellStyle name="Normal 339 6 2" xfId="27085" xr:uid="{00000000-0005-0000-0000-0000CD690000}"/>
    <cellStyle name="Normal 339 6 2 2" xfId="27086" xr:uid="{00000000-0005-0000-0000-0000CE690000}"/>
    <cellStyle name="Normal 339 6 3" xfId="27087" xr:uid="{00000000-0005-0000-0000-0000CF690000}"/>
    <cellStyle name="Normal 339 7" xfId="27088" xr:uid="{00000000-0005-0000-0000-0000D0690000}"/>
    <cellStyle name="Normal 34" xfId="27089" xr:uid="{00000000-0005-0000-0000-0000D1690000}"/>
    <cellStyle name="Normal 34 2" xfId="27090" xr:uid="{00000000-0005-0000-0000-0000D2690000}"/>
    <cellStyle name="Normal 34 2 2" xfId="27091" xr:uid="{00000000-0005-0000-0000-0000D3690000}"/>
    <cellStyle name="Normal 34 2 2 2" xfId="27092" xr:uid="{00000000-0005-0000-0000-0000D4690000}"/>
    <cellStyle name="Normal 34 2 2 2 2" xfId="27093" xr:uid="{00000000-0005-0000-0000-0000D5690000}"/>
    <cellStyle name="Normal 34 2 2 3" xfId="27094" xr:uid="{00000000-0005-0000-0000-0000D6690000}"/>
    <cellStyle name="Normal 34 2 2 3 2" xfId="27095" xr:uid="{00000000-0005-0000-0000-0000D7690000}"/>
    <cellStyle name="Normal 34 2 2 3 2 2" xfId="27096" xr:uid="{00000000-0005-0000-0000-0000D8690000}"/>
    <cellStyle name="Normal 34 2 2 3 3" xfId="27097" xr:uid="{00000000-0005-0000-0000-0000D9690000}"/>
    <cellStyle name="Normal 34 2 2 4" xfId="27098" xr:uid="{00000000-0005-0000-0000-0000DA690000}"/>
    <cellStyle name="Normal 34 2 2 4 2" xfId="27099" xr:uid="{00000000-0005-0000-0000-0000DB690000}"/>
    <cellStyle name="Normal 34 2 2 4 2 2" xfId="27100" xr:uid="{00000000-0005-0000-0000-0000DC690000}"/>
    <cellStyle name="Normal 34 2 2 4 3" xfId="27101" xr:uid="{00000000-0005-0000-0000-0000DD690000}"/>
    <cellStyle name="Normal 34 2 2 5" xfId="27102" xr:uid="{00000000-0005-0000-0000-0000DE690000}"/>
    <cellStyle name="Normal 34 2 3" xfId="27103" xr:uid="{00000000-0005-0000-0000-0000DF690000}"/>
    <cellStyle name="Normal 34 2 3 2" xfId="27104" xr:uid="{00000000-0005-0000-0000-0000E0690000}"/>
    <cellStyle name="Normal 34 2 3 2 2" xfId="27105" xr:uid="{00000000-0005-0000-0000-0000E1690000}"/>
    <cellStyle name="Normal 34 2 3 3" xfId="27106" xr:uid="{00000000-0005-0000-0000-0000E2690000}"/>
    <cellStyle name="Normal 34 2 4" xfId="27107" xr:uid="{00000000-0005-0000-0000-0000E3690000}"/>
    <cellStyle name="Normal 34 2 4 2" xfId="27108" xr:uid="{00000000-0005-0000-0000-0000E4690000}"/>
    <cellStyle name="Normal 34 2 4 2 2" xfId="27109" xr:uid="{00000000-0005-0000-0000-0000E5690000}"/>
    <cellStyle name="Normal 34 2 4 3" xfId="27110" xr:uid="{00000000-0005-0000-0000-0000E6690000}"/>
    <cellStyle name="Normal 34 2 5" xfId="27111" xr:uid="{00000000-0005-0000-0000-0000E7690000}"/>
    <cellStyle name="Normal 34 2 5 2" xfId="27112" xr:uid="{00000000-0005-0000-0000-0000E8690000}"/>
    <cellStyle name="Normal 34 2 5 2 2" xfId="27113" xr:uid="{00000000-0005-0000-0000-0000E9690000}"/>
    <cellStyle name="Normal 34 2 5 3" xfId="27114" xr:uid="{00000000-0005-0000-0000-0000EA690000}"/>
    <cellStyle name="Normal 34 2 6" xfId="27115" xr:uid="{00000000-0005-0000-0000-0000EB690000}"/>
    <cellStyle name="Normal 34 3" xfId="27116" xr:uid="{00000000-0005-0000-0000-0000EC690000}"/>
    <cellStyle name="Normal 34 3 2" xfId="27117" xr:uid="{00000000-0005-0000-0000-0000ED690000}"/>
    <cellStyle name="Normal 34 3 2 2" xfId="27118" xr:uid="{00000000-0005-0000-0000-0000EE690000}"/>
    <cellStyle name="Normal 34 3 3" xfId="27119" xr:uid="{00000000-0005-0000-0000-0000EF690000}"/>
    <cellStyle name="Normal 34 3 3 2" xfId="27120" xr:uid="{00000000-0005-0000-0000-0000F0690000}"/>
    <cellStyle name="Normal 34 3 3 2 2" xfId="27121" xr:uid="{00000000-0005-0000-0000-0000F1690000}"/>
    <cellStyle name="Normal 34 3 3 3" xfId="27122" xr:uid="{00000000-0005-0000-0000-0000F2690000}"/>
    <cellStyle name="Normal 34 3 4" xfId="27123" xr:uid="{00000000-0005-0000-0000-0000F3690000}"/>
    <cellStyle name="Normal 34 3 4 2" xfId="27124" xr:uid="{00000000-0005-0000-0000-0000F4690000}"/>
    <cellStyle name="Normal 34 3 4 2 2" xfId="27125" xr:uid="{00000000-0005-0000-0000-0000F5690000}"/>
    <cellStyle name="Normal 34 3 4 3" xfId="27126" xr:uid="{00000000-0005-0000-0000-0000F6690000}"/>
    <cellStyle name="Normal 34 3 5" xfId="27127" xr:uid="{00000000-0005-0000-0000-0000F7690000}"/>
    <cellStyle name="Normal 34 4" xfId="27128" xr:uid="{00000000-0005-0000-0000-0000F8690000}"/>
    <cellStyle name="Normal 34 4 2" xfId="27129" xr:uid="{00000000-0005-0000-0000-0000F9690000}"/>
    <cellStyle name="Normal 34 4 2 2" xfId="27130" xr:uid="{00000000-0005-0000-0000-0000FA690000}"/>
    <cellStyle name="Normal 34 4 3" xfId="27131" xr:uid="{00000000-0005-0000-0000-0000FB690000}"/>
    <cellStyle name="Normal 34 5" xfId="27132" xr:uid="{00000000-0005-0000-0000-0000FC690000}"/>
    <cellStyle name="Normal 34 5 2" xfId="27133" xr:uid="{00000000-0005-0000-0000-0000FD690000}"/>
    <cellStyle name="Normal 34 5 2 2" xfId="27134" xr:uid="{00000000-0005-0000-0000-0000FE690000}"/>
    <cellStyle name="Normal 34 5 3" xfId="27135" xr:uid="{00000000-0005-0000-0000-0000FF690000}"/>
    <cellStyle name="Normal 34 6" xfId="27136" xr:uid="{00000000-0005-0000-0000-0000006A0000}"/>
    <cellStyle name="Normal 34 6 2" xfId="27137" xr:uid="{00000000-0005-0000-0000-0000016A0000}"/>
    <cellStyle name="Normal 34 6 2 2" xfId="27138" xr:uid="{00000000-0005-0000-0000-0000026A0000}"/>
    <cellStyle name="Normal 34 6 3" xfId="27139" xr:uid="{00000000-0005-0000-0000-0000036A0000}"/>
    <cellStyle name="Normal 34 7" xfId="27140" xr:uid="{00000000-0005-0000-0000-0000046A0000}"/>
    <cellStyle name="Normal 340" xfId="27141" xr:uid="{00000000-0005-0000-0000-0000056A0000}"/>
    <cellStyle name="Normal 340 2" xfId="27142" xr:uid="{00000000-0005-0000-0000-0000066A0000}"/>
    <cellStyle name="Normal 340 2 2" xfId="27143" xr:uid="{00000000-0005-0000-0000-0000076A0000}"/>
    <cellStyle name="Normal 340 2 2 2" xfId="27144" xr:uid="{00000000-0005-0000-0000-0000086A0000}"/>
    <cellStyle name="Normal 340 2 3" xfId="27145" xr:uid="{00000000-0005-0000-0000-0000096A0000}"/>
    <cellStyle name="Normal 340 2 3 2" xfId="27146" xr:uid="{00000000-0005-0000-0000-00000A6A0000}"/>
    <cellStyle name="Normal 340 2 3 2 2" xfId="27147" xr:uid="{00000000-0005-0000-0000-00000B6A0000}"/>
    <cellStyle name="Normal 340 2 3 3" xfId="27148" xr:uid="{00000000-0005-0000-0000-00000C6A0000}"/>
    <cellStyle name="Normal 340 2 4" xfId="27149" xr:uid="{00000000-0005-0000-0000-00000D6A0000}"/>
    <cellStyle name="Normal 340 2 4 2" xfId="27150" xr:uid="{00000000-0005-0000-0000-00000E6A0000}"/>
    <cellStyle name="Normal 340 2 4 2 2" xfId="27151" xr:uid="{00000000-0005-0000-0000-00000F6A0000}"/>
    <cellStyle name="Normal 340 2 4 3" xfId="27152" xr:uid="{00000000-0005-0000-0000-0000106A0000}"/>
    <cellStyle name="Normal 340 2 5" xfId="27153" xr:uid="{00000000-0005-0000-0000-0000116A0000}"/>
    <cellStyle name="Normal 340 3" xfId="27154" xr:uid="{00000000-0005-0000-0000-0000126A0000}"/>
    <cellStyle name="Normal 340 3 2" xfId="27155" xr:uid="{00000000-0005-0000-0000-0000136A0000}"/>
    <cellStyle name="Normal 340 3 2 2" xfId="27156" xr:uid="{00000000-0005-0000-0000-0000146A0000}"/>
    <cellStyle name="Normal 340 3 2 2 2" xfId="27157" xr:uid="{00000000-0005-0000-0000-0000156A0000}"/>
    <cellStyle name="Normal 340 3 2 3" xfId="27158" xr:uid="{00000000-0005-0000-0000-0000166A0000}"/>
    <cellStyle name="Normal 340 3 2 3 2" xfId="27159" xr:uid="{00000000-0005-0000-0000-0000176A0000}"/>
    <cellStyle name="Normal 340 3 2 3 2 2" xfId="27160" xr:uid="{00000000-0005-0000-0000-0000186A0000}"/>
    <cellStyle name="Normal 340 3 2 3 3" xfId="27161" xr:uid="{00000000-0005-0000-0000-0000196A0000}"/>
    <cellStyle name="Normal 340 3 2 4" xfId="27162" xr:uid="{00000000-0005-0000-0000-00001A6A0000}"/>
    <cellStyle name="Normal 340 3 3" xfId="27163" xr:uid="{00000000-0005-0000-0000-00001B6A0000}"/>
    <cellStyle name="Normal 340 3 3 2" xfId="27164" xr:uid="{00000000-0005-0000-0000-00001C6A0000}"/>
    <cellStyle name="Normal 340 3 3 2 2" xfId="27165" xr:uid="{00000000-0005-0000-0000-00001D6A0000}"/>
    <cellStyle name="Normal 340 3 3 3" xfId="27166" xr:uid="{00000000-0005-0000-0000-00001E6A0000}"/>
    <cellStyle name="Normal 340 3 4" xfId="27167" xr:uid="{00000000-0005-0000-0000-00001F6A0000}"/>
    <cellStyle name="Normal 340 3 4 2" xfId="27168" xr:uid="{00000000-0005-0000-0000-0000206A0000}"/>
    <cellStyle name="Normal 340 3 4 2 2" xfId="27169" xr:uid="{00000000-0005-0000-0000-0000216A0000}"/>
    <cellStyle name="Normal 340 3 4 3" xfId="27170" xr:uid="{00000000-0005-0000-0000-0000226A0000}"/>
    <cellStyle name="Normal 340 3 5" xfId="27171" xr:uid="{00000000-0005-0000-0000-0000236A0000}"/>
    <cellStyle name="Normal 340 3 5 2" xfId="27172" xr:uid="{00000000-0005-0000-0000-0000246A0000}"/>
    <cellStyle name="Normal 340 3 5 2 2" xfId="27173" xr:uid="{00000000-0005-0000-0000-0000256A0000}"/>
    <cellStyle name="Normal 340 3 5 3" xfId="27174" xr:uid="{00000000-0005-0000-0000-0000266A0000}"/>
    <cellStyle name="Normal 340 3 6" xfId="27175" xr:uid="{00000000-0005-0000-0000-0000276A0000}"/>
    <cellStyle name="Normal 340 4" xfId="27176" xr:uid="{00000000-0005-0000-0000-0000286A0000}"/>
    <cellStyle name="Normal 340 4 2" xfId="27177" xr:uid="{00000000-0005-0000-0000-0000296A0000}"/>
    <cellStyle name="Normal 340 4 2 2" xfId="27178" xr:uid="{00000000-0005-0000-0000-00002A6A0000}"/>
    <cellStyle name="Normal 340 4 3" xfId="27179" xr:uid="{00000000-0005-0000-0000-00002B6A0000}"/>
    <cellStyle name="Normal 340 5" xfId="27180" xr:uid="{00000000-0005-0000-0000-00002C6A0000}"/>
    <cellStyle name="Normal 340 5 2" xfId="27181" xr:uid="{00000000-0005-0000-0000-00002D6A0000}"/>
    <cellStyle name="Normal 340 5 2 2" xfId="27182" xr:uid="{00000000-0005-0000-0000-00002E6A0000}"/>
    <cellStyle name="Normal 340 5 3" xfId="27183" xr:uid="{00000000-0005-0000-0000-00002F6A0000}"/>
    <cellStyle name="Normal 340 6" xfId="27184" xr:uid="{00000000-0005-0000-0000-0000306A0000}"/>
    <cellStyle name="Normal 340 6 2" xfId="27185" xr:uid="{00000000-0005-0000-0000-0000316A0000}"/>
    <cellStyle name="Normal 340 6 2 2" xfId="27186" xr:uid="{00000000-0005-0000-0000-0000326A0000}"/>
    <cellStyle name="Normal 340 6 3" xfId="27187" xr:uid="{00000000-0005-0000-0000-0000336A0000}"/>
    <cellStyle name="Normal 340 7" xfId="27188" xr:uid="{00000000-0005-0000-0000-0000346A0000}"/>
    <cellStyle name="Normal 341" xfId="27189" xr:uid="{00000000-0005-0000-0000-0000356A0000}"/>
    <cellStyle name="Normal 341 2" xfId="27190" xr:uid="{00000000-0005-0000-0000-0000366A0000}"/>
    <cellStyle name="Normal 341 2 2" xfId="27191" xr:uid="{00000000-0005-0000-0000-0000376A0000}"/>
    <cellStyle name="Normal 341 2 2 2" xfId="27192" xr:uid="{00000000-0005-0000-0000-0000386A0000}"/>
    <cellStyle name="Normal 341 2 3" xfId="27193" xr:uid="{00000000-0005-0000-0000-0000396A0000}"/>
    <cellStyle name="Normal 341 2 3 2" xfId="27194" xr:uid="{00000000-0005-0000-0000-00003A6A0000}"/>
    <cellStyle name="Normal 341 2 3 2 2" xfId="27195" xr:uid="{00000000-0005-0000-0000-00003B6A0000}"/>
    <cellStyle name="Normal 341 2 3 3" xfId="27196" xr:uid="{00000000-0005-0000-0000-00003C6A0000}"/>
    <cellStyle name="Normal 341 2 4" xfId="27197" xr:uid="{00000000-0005-0000-0000-00003D6A0000}"/>
    <cellStyle name="Normal 341 2 4 2" xfId="27198" xr:uid="{00000000-0005-0000-0000-00003E6A0000}"/>
    <cellStyle name="Normal 341 2 4 2 2" xfId="27199" xr:uid="{00000000-0005-0000-0000-00003F6A0000}"/>
    <cellStyle name="Normal 341 2 4 3" xfId="27200" xr:uid="{00000000-0005-0000-0000-0000406A0000}"/>
    <cellStyle name="Normal 341 2 5" xfId="27201" xr:uid="{00000000-0005-0000-0000-0000416A0000}"/>
    <cellStyle name="Normal 341 3" xfId="27202" xr:uid="{00000000-0005-0000-0000-0000426A0000}"/>
    <cellStyle name="Normal 341 3 2" xfId="27203" xr:uid="{00000000-0005-0000-0000-0000436A0000}"/>
    <cellStyle name="Normal 341 3 2 2" xfId="27204" xr:uid="{00000000-0005-0000-0000-0000446A0000}"/>
    <cellStyle name="Normal 341 3 2 2 2" xfId="27205" xr:uid="{00000000-0005-0000-0000-0000456A0000}"/>
    <cellStyle name="Normal 341 3 2 3" xfId="27206" xr:uid="{00000000-0005-0000-0000-0000466A0000}"/>
    <cellStyle name="Normal 341 3 2 3 2" xfId="27207" xr:uid="{00000000-0005-0000-0000-0000476A0000}"/>
    <cellStyle name="Normal 341 3 2 3 2 2" xfId="27208" xr:uid="{00000000-0005-0000-0000-0000486A0000}"/>
    <cellStyle name="Normal 341 3 2 3 3" xfId="27209" xr:uid="{00000000-0005-0000-0000-0000496A0000}"/>
    <cellStyle name="Normal 341 3 2 4" xfId="27210" xr:uid="{00000000-0005-0000-0000-00004A6A0000}"/>
    <cellStyle name="Normal 341 3 3" xfId="27211" xr:uid="{00000000-0005-0000-0000-00004B6A0000}"/>
    <cellStyle name="Normal 341 3 3 2" xfId="27212" xr:uid="{00000000-0005-0000-0000-00004C6A0000}"/>
    <cellStyle name="Normal 341 3 3 2 2" xfId="27213" xr:uid="{00000000-0005-0000-0000-00004D6A0000}"/>
    <cellStyle name="Normal 341 3 3 3" xfId="27214" xr:uid="{00000000-0005-0000-0000-00004E6A0000}"/>
    <cellStyle name="Normal 341 3 4" xfId="27215" xr:uid="{00000000-0005-0000-0000-00004F6A0000}"/>
    <cellStyle name="Normal 341 3 4 2" xfId="27216" xr:uid="{00000000-0005-0000-0000-0000506A0000}"/>
    <cellStyle name="Normal 341 3 4 2 2" xfId="27217" xr:uid="{00000000-0005-0000-0000-0000516A0000}"/>
    <cellStyle name="Normal 341 3 4 3" xfId="27218" xr:uid="{00000000-0005-0000-0000-0000526A0000}"/>
    <cellStyle name="Normal 341 3 5" xfId="27219" xr:uid="{00000000-0005-0000-0000-0000536A0000}"/>
    <cellStyle name="Normal 341 3 5 2" xfId="27220" xr:uid="{00000000-0005-0000-0000-0000546A0000}"/>
    <cellStyle name="Normal 341 3 5 2 2" xfId="27221" xr:uid="{00000000-0005-0000-0000-0000556A0000}"/>
    <cellStyle name="Normal 341 3 5 3" xfId="27222" xr:uid="{00000000-0005-0000-0000-0000566A0000}"/>
    <cellStyle name="Normal 341 3 6" xfId="27223" xr:uid="{00000000-0005-0000-0000-0000576A0000}"/>
    <cellStyle name="Normal 341 4" xfId="27224" xr:uid="{00000000-0005-0000-0000-0000586A0000}"/>
    <cellStyle name="Normal 341 4 2" xfId="27225" xr:uid="{00000000-0005-0000-0000-0000596A0000}"/>
    <cellStyle name="Normal 341 4 2 2" xfId="27226" xr:uid="{00000000-0005-0000-0000-00005A6A0000}"/>
    <cellStyle name="Normal 341 4 3" xfId="27227" xr:uid="{00000000-0005-0000-0000-00005B6A0000}"/>
    <cellStyle name="Normal 341 5" xfId="27228" xr:uid="{00000000-0005-0000-0000-00005C6A0000}"/>
    <cellStyle name="Normal 341 5 2" xfId="27229" xr:uid="{00000000-0005-0000-0000-00005D6A0000}"/>
    <cellStyle name="Normal 341 5 2 2" xfId="27230" xr:uid="{00000000-0005-0000-0000-00005E6A0000}"/>
    <cellStyle name="Normal 341 5 3" xfId="27231" xr:uid="{00000000-0005-0000-0000-00005F6A0000}"/>
    <cellStyle name="Normal 341 6" xfId="27232" xr:uid="{00000000-0005-0000-0000-0000606A0000}"/>
    <cellStyle name="Normal 341 6 2" xfId="27233" xr:uid="{00000000-0005-0000-0000-0000616A0000}"/>
    <cellStyle name="Normal 341 6 2 2" xfId="27234" xr:uid="{00000000-0005-0000-0000-0000626A0000}"/>
    <cellStyle name="Normal 341 6 3" xfId="27235" xr:uid="{00000000-0005-0000-0000-0000636A0000}"/>
    <cellStyle name="Normal 341 7" xfId="27236" xr:uid="{00000000-0005-0000-0000-0000646A0000}"/>
    <cellStyle name="Normal 342" xfId="27237" xr:uid="{00000000-0005-0000-0000-0000656A0000}"/>
    <cellStyle name="Normal 342 2" xfId="27238" xr:uid="{00000000-0005-0000-0000-0000666A0000}"/>
    <cellStyle name="Normal 342 2 2" xfId="27239" xr:uid="{00000000-0005-0000-0000-0000676A0000}"/>
    <cellStyle name="Normal 342 2 2 2" xfId="27240" xr:uid="{00000000-0005-0000-0000-0000686A0000}"/>
    <cellStyle name="Normal 342 2 3" xfId="27241" xr:uid="{00000000-0005-0000-0000-0000696A0000}"/>
    <cellStyle name="Normal 342 2 3 2" xfId="27242" xr:uid="{00000000-0005-0000-0000-00006A6A0000}"/>
    <cellStyle name="Normal 342 2 3 2 2" xfId="27243" xr:uid="{00000000-0005-0000-0000-00006B6A0000}"/>
    <cellStyle name="Normal 342 2 3 3" xfId="27244" xr:uid="{00000000-0005-0000-0000-00006C6A0000}"/>
    <cellStyle name="Normal 342 2 4" xfId="27245" xr:uid="{00000000-0005-0000-0000-00006D6A0000}"/>
    <cellStyle name="Normal 342 2 4 2" xfId="27246" xr:uid="{00000000-0005-0000-0000-00006E6A0000}"/>
    <cellStyle name="Normal 342 2 4 2 2" xfId="27247" xr:uid="{00000000-0005-0000-0000-00006F6A0000}"/>
    <cellStyle name="Normal 342 2 4 3" xfId="27248" xr:uid="{00000000-0005-0000-0000-0000706A0000}"/>
    <cellStyle name="Normal 342 2 5" xfId="27249" xr:uid="{00000000-0005-0000-0000-0000716A0000}"/>
    <cellStyle name="Normal 342 3" xfId="27250" xr:uid="{00000000-0005-0000-0000-0000726A0000}"/>
    <cellStyle name="Normal 342 3 2" xfId="27251" xr:uid="{00000000-0005-0000-0000-0000736A0000}"/>
    <cellStyle name="Normal 342 3 2 2" xfId="27252" xr:uid="{00000000-0005-0000-0000-0000746A0000}"/>
    <cellStyle name="Normal 342 3 2 2 2" xfId="27253" xr:uid="{00000000-0005-0000-0000-0000756A0000}"/>
    <cellStyle name="Normal 342 3 2 3" xfId="27254" xr:uid="{00000000-0005-0000-0000-0000766A0000}"/>
    <cellStyle name="Normal 342 3 2 3 2" xfId="27255" xr:uid="{00000000-0005-0000-0000-0000776A0000}"/>
    <cellStyle name="Normal 342 3 2 3 2 2" xfId="27256" xr:uid="{00000000-0005-0000-0000-0000786A0000}"/>
    <cellStyle name="Normal 342 3 2 3 3" xfId="27257" xr:uid="{00000000-0005-0000-0000-0000796A0000}"/>
    <cellStyle name="Normal 342 3 2 4" xfId="27258" xr:uid="{00000000-0005-0000-0000-00007A6A0000}"/>
    <cellStyle name="Normal 342 3 3" xfId="27259" xr:uid="{00000000-0005-0000-0000-00007B6A0000}"/>
    <cellStyle name="Normal 342 3 3 2" xfId="27260" xr:uid="{00000000-0005-0000-0000-00007C6A0000}"/>
    <cellStyle name="Normal 342 3 3 2 2" xfId="27261" xr:uid="{00000000-0005-0000-0000-00007D6A0000}"/>
    <cellStyle name="Normal 342 3 3 3" xfId="27262" xr:uid="{00000000-0005-0000-0000-00007E6A0000}"/>
    <cellStyle name="Normal 342 3 4" xfId="27263" xr:uid="{00000000-0005-0000-0000-00007F6A0000}"/>
    <cellStyle name="Normal 342 3 4 2" xfId="27264" xr:uid="{00000000-0005-0000-0000-0000806A0000}"/>
    <cellStyle name="Normal 342 3 4 2 2" xfId="27265" xr:uid="{00000000-0005-0000-0000-0000816A0000}"/>
    <cellStyle name="Normal 342 3 4 3" xfId="27266" xr:uid="{00000000-0005-0000-0000-0000826A0000}"/>
    <cellStyle name="Normal 342 3 5" xfId="27267" xr:uid="{00000000-0005-0000-0000-0000836A0000}"/>
    <cellStyle name="Normal 342 3 5 2" xfId="27268" xr:uid="{00000000-0005-0000-0000-0000846A0000}"/>
    <cellStyle name="Normal 342 3 5 2 2" xfId="27269" xr:uid="{00000000-0005-0000-0000-0000856A0000}"/>
    <cellStyle name="Normal 342 3 5 3" xfId="27270" xr:uid="{00000000-0005-0000-0000-0000866A0000}"/>
    <cellStyle name="Normal 342 3 6" xfId="27271" xr:uid="{00000000-0005-0000-0000-0000876A0000}"/>
    <cellStyle name="Normal 342 4" xfId="27272" xr:uid="{00000000-0005-0000-0000-0000886A0000}"/>
    <cellStyle name="Normal 342 4 2" xfId="27273" xr:uid="{00000000-0005-0000-0000-0000896A0000}"/>
    <cellStyle name="Normal 342 4 2 2" xfId="27274" xr:uid="{00000000-0005-0000-0000-00008A6A0000}"/>
    <cellStyle name="Normal 342 4 3" xfId="27275" xr:uid="{00000000-0005-0000-0000-00008B6A0000}"/>
    <cellStyle name="Normal 342 5" xfId="27276" xr:uid="{00000000-0005-0000-0000-00008C6A0000}"/>
    <cellStyle name="Normal 342 5 2" xfId="27277" xr:uid="{00000000-0005-0000-0000-00008D6A0000}"/>
    <cellStyle name="Normal 342 5 2 2" xfId="27278" xr:uid="{00000000-0005-0000-0000-00008E6A0000}"/>
    <cellStyle name="Normal 342 5 3" xfId="27279" xr:uid="{00000000-0005-0000-0000-00008F6A0000}"/>
    <cellStyle name="Normal 342 6" xfId="27280" xr:uid="{00000000-0005-0000-0000-0000906A0000}"/>
    <cellStyle name="Normal 342 6 2" xfId="27281" xr:uid="{00000000-0005-0000-0000-0000916A0000}"/>
    <cellStyle name="Normal 342 6 2 2" xfId="27282" xr:uid="{00000000-0005-0000-0000-0000926A0000}"/>
    <cellStyle name="Normal 342 6 3" xfId="27283" xr:uid="{00000000-0005-0000-0000-0000936A0000}"/>
    <cellStyle name="Normal 342 7" xfId="27284" xr:uid="{00000000-0005-0000-0000-0000946A0000}"/>
    <cellStyle name="Normal 343" xfId="27285" xr:uid="{00000000-0005-0000-0000-0000956A0000}"/>
    <cellStyle name="Normal 343 2" xfId="27286" xr:uid="{00000000-0005-0000-0000-0000966A0000}"/>
    <cellStyle name="Normal 343 2 2" xfId="27287" xr:uid="{00000000-0005-0000-0000-0000976A0000}"/>
    <cellStyle name="Normal 343 2 2 2" xfId="27288" xr:uid="{00000000-0005-0000-0000-0000986A0000}"/>
    <cellStyle name="Normal 343 2 3" xfId="27289" xr:uid="{00000000-0005-0000-0000-0000996A0000}"/>
    <cellStyle name="Normal 343 2 3 2" xfId="27290" xr:uid="{00000000-0005-0000-0000-00009A6A0000}"/>
    <cellStyle name="Normal 343 2 3 2 2" xfId="27291" xr:uid="{00000000-0005-0000-0000-00009B6A0000}"/>
    <cellStyle name="Normal 343 2 3 3" xfId="27292" xr:uid="{00000000-0005-0000-0000-00009C6A0000}"/>
    <cellStyle name="Normal 343 2 4" xfId="27293" xr:uid="{00000000-0005-0000-0000-00009D6A0000}"/>
    <cellStyle name="Normal 343 2 4 2" xfId="27294" xr:uid="{00000000-0005-0000-0000-00009E6A0000}"/>
    <cellStyle name="Normal 343 2 4 2 2" xfId="27295" xr:uid="{00000000-0005-0000-0000-00009F6A0000}"/>
    <cellStyle name="Normal 343 2 4 3" xfId="27296" xr:uid="{00000000-0005-0000-0000-0000A06A0000}"/>
    <cellStyle name="Normal 343 2 5" xfId="27297" xr:uid="{00000000-0005-0000-0000-0000A16A0000}"/>
    <cellStyle name="Normal 343 3" xfId="27298" xr:uid="{00000000-0005-0000-0000-0000A26A0000}"/>
    <cellStyle name="Normal 343 3 2" xfId="27299" xr:uid="{00000000-0005-0000-0000-0000A36A0000}"/>
    <cellStyle name="Normal 343 3 2 2" xfId="27300" xr:uid="{00000000-0005-0000-0000-0000A46A0000}"/>
    <cellStyle name="Normal 343 3 2 2 2" xfId="27301" xr:uid="{00000000-0005-0000-0000-0000A56A0000}"/>
    <cellStyle name="Normal 343 3 2 3" xfId="27302" xr:uid="{00000000-0005-0000-0000-0000A66A0000}"/>
    <cellStyle name="Normal 343 3 2 3 2" xfId="27303" xr:uid="{00000000-0005-0000-0000-0000A76A0000}"/>
    <cellStyle name="Normal 343 3 2 3 2 2" xfId="27304" xr:uid="{00000000-0005-0000-0000-0000A86A0000}"/>
    <cellStyle name="Normal 343 3 2 3 3" xfId="27305" xr:uid="{00000000-0005-0000-0000-0000A96A0000}"/>
    <cellStyle name="Normal 343 3 2 4" xfId="27306" xr:uid="{00000000-0005-0000-0000-0000AA6A0000}"/>
    <cellStyle name="Normal 343 3 3" xfId="27307" xr:uid="{00000000-0005-0000-0000-0000AB6A0000}"/>
    <cellStyle name="Normal 343 3 3 2" xfId="27308" xr:uid="{00000000-0005-0000-0000-0000AC6A0000}"/>
    <cellStyle name="Normal 343 3 3 2 2" xfId="27309" xr:uid="{00000000-0005-0000-0000-0000AD6A0000}"/>
    <cellStyle name="Normal 343 3 3 3" xfId="27310" xr:uid="{00000000-0005-0000-0000-0000AE6A0000}"/>
    <cellStyle name="Normal 343 3 4" xfId="27311" xr:uid="{00000000-0005-0000-0000-0000AF6A0000}"/>
    <cellStyle name="Normal 343 3 4 2" xfId="27312" xr:uid="{00000000-0005-0000-0000-0000B06A0000}"/>
    <cellStyle name="Normal 343 3 4 2 2" xfId="27313" xr:uid="{00000000-0005-0000-0000-0000B16A0000}"/>
    <cellStyle name="Normal 343 3 4 3" xfId="27314" xr:uid="{00000000-0005-0000-0000-0000B26A0000}"/>
    <cellStyle name="Normal 343 3 5" xfId="27315" xr:uid="{00000000-0005-0000-0000-0000B36A0000}"/>
    <cellStyle name="Normal 343 3 5 2" xfId="27316" xr:uid="{00000000-0005-0000-0000-0000B46A0000}"/>
    <cellStyle name="Normal 343 3 5 2 2" xfId="27317" xr:uid="{00000000-0005-0000-0000-0000B56A0000}"/>
    <cellStyle name="Normal 343 3 5 3" xfId="27318" xr:uid="{00000000-0005-0000-0000-0000B66A0000}"/>
    <cellStyle name="Normal 343 3 6" xfId="27319" xr:uid="{00000000-0005-0000-0000-0000B76A0000}"/>
    <cellStyle name="Normal 343 4" xfId="27320" xr:uid="{00000000-0005-0000-0000-0000B86A0000}"/>
    <cellStyle name="Normal 343 4 2" xfId="27321" xr:uid="{00000000-0005-0000-0000-0000B96A0000}"/>
    <cellStyle name="Normal 343 4 2 2" xfId="27322" xr:uid="{00000000-0005-0000-0000-0000BA6A0000}"/>
    <cellStyle name="Normal 343 4 3" xfId="27323" xr:uid="{00000000-0005-0000-0000-0000BB6A0000}"/>
    <cellStyle name="Normal 343 5" xfId="27324" xr:uid="{00000000-0005-0000-0000-0000BC6A0000}"/>
    <cellStyle name="Normal 343 5 2" xfId="27325" xr:uid="{00000000-0005-0000-0000-0000BD6A0000}"/>
    <cellStyle name="Normal 343 5 2 2" xfId="27326" xr:uid="{00000000-0005-0000-0000-0000BE6A0000}"/>
    <cellStyle name="Normal 343 5 3" xfId="27327" xr:uid="{00000000-0005-0000-0000-0000BF6A0000}"/>
    <cellStyle name="Normal 343 6" xfId="27328" xr:uid="{00000000-0005-0000-0000-0000C06A0000}"/>
    <cellStyle name="Normal 343 6 2" xfId="27329" xr:uid="{00000000-0005-0000-0000-0000C16A0000}"/>
    <cellStyle name="Normal 343 6 2 2" xfId="27330" xr:uid="{00000000-0005-0000-0000-0000C26A0000}"/>
    <cellStyle name="Normal 343 6 3" xfId="27331" xr:uid="{00000000-0005-0000-0000-0000C36A0000}"/>
    <cellStyle name="Normal 343 7" xfId="27332" xr:uid="{00000000-0005-0000-0000-0000C46A0000}"/>
    <cellStyle name="Normal 344" xfId="27333" xr:uid="{00000000-0005-0000-0000-0000C56A0000}"/>
    <cellStyle name="Normal 344 2" xfId="27334" xr:uid="{00000000-0005-0000-0000-0000C66A0000}"/>
    <cellStyle name="Normal 344 2 2" xfId="27335" xr:uid="{00000000-0005-0000-0000-0000C76A0000}"/>
    <cellStyle name="Normal 344 2 2 2" xfId="27336" xr:uid="{00000000-0005-0000-0000-0000C86A0000}"/>
    <cellStyle name="Normal 344 2 3" xfId="27337" xr:uid="{00000000-0005-0000-0000-0000C96A0000}"/>
    <cellStyle name="Normal 344 2 3 2" xfId="27338" xr:uid="{00000000-0005-0000-0000-0000CA6A0000}"/>
    <cellStyle name="Normal 344 2 3 2 2" xfId="27339" xr:uid="{00000000-0005-0000-0000-0000CB6A0000}"/>
    <cellStyle name="Normal 344 2 3 3" xfId="27340" xr:uid="{00000000-0005-0000-0000-0000CC6A0000}"/>
    <cellStyle name="Normal 344 2 4" xfId="27341" xr:uid="{00000000-0005-0000-0000-0000CD6A0000}"/>
    <cellStyle name="Normal 344 2 4 2" xfId="27342" xr:uid="{00000000-0005-0000-0000-0000CE6A0000}"/>
    <cellStyle name="Normal 344 2 4 2 2" xfId="27343" xr:uid="{00000000-0005-0000-0000-0000CF6A0000}"/>
    <cellStyle name="Normal 344 2 4 3" xfId="27344" xr:uid="{00000000-0005-0000-0000-0000D06A0000}"/>
    <cellStyle name="Normal 344 2 5" xfId="27345" xr:uid="{00000000-0005-0000-0000-0000D16A0000}"/>
    <cellStyle name="Normal 344 3" xfId="27346" xr:uid="{00000000-0005-0000-0000-0000D26A0000}"/>
    <cellStyle name="Normal 344 3 2" xfId="27347" xr:uid="{00000000-0005-0000-0000-0000D36A0000}"/>
    <cellStyle name="Normal 344 3 2 2" xfId="27348" xr:uid="{00000000-0005-0000-0000-0000D46A0000}"/>
    <cellStyle name="Normal 344 3 2 2 2" xfId="27349" xr:uid="{00000000-0005-0000-0000-0000D56A0000}"/>
    <cellStyle name="Normal 344 3 2 3" xfId="27350" xr:uid="{00000000-0005-0000-0000-0000D66A0000}"/>
    <cellStyle name="Normal 344 3 2 3 2" xfId="27351" xr:uid="{00000000-0005-0000-0000-0000D76A0000}"/>
    <cellStyle name="Normal 344 3 2 3 2 2" xfId="27352" xr:uid="{00000000-0005-0000-0000-0000D86A0000}"/>
    <cellStyle name="Normal 344 3 2 3 3" xfId="27353" xr:uid="{00000000-0005-0000-0000-0000D96A0000}"/>
    <cellStyle name="Normal 344 3 2 4" xfId="27354" xr:uid="{00000000-0005-0000-0000-0000DA6A0000}"/>
    <cellStyle name="Normal 344 3 3" xfId="27355" xr:uid="{00000000-0005-0000-0000-0000DB6A0000}"/>
    <cellStyle name="Normal 344 3 3 2" xfId="27356" xr:uid="{00000000-0005-0000-0000-0000DC6A0000}"/>
    <cellStyle name="Normal 344 3 3 2 2" xfId="27357" xr:uid="{00000000-0005-0000-0000-0000DD6A0000}"/>
    <cellStyle name="Normal 344 3 3 3" xfId="27358" xr:uid="{00000000-0005-0000-0000-0000DE6A0000}"/>
    <cellStyle name="Normal 344 3 4" xfId="27359" xr:uid="{00000000-0005-0000-0000-0000DF6A0000}"/>
    <cellStyle name="Normal 344 3 4 2" xfId="27360" xr:uid="{00000000-0005-0000-0000-0000E06A0000}"/>
    <cellStyle name="Normal 344 3 4 2 2" xfId="27361" xr:uid="{00000000-0005-0000-0000-0000E16A0000}"/>
    <cellStyle name="Normal 344 3 4 3" xfId="27362" xr:uid="{00000000-0005-0000-0000-0000E26A0000}"/>
    <cellStyle name="Normal 344 3 5" xfId="27363" xr:uid="{00000000-0005-0000-0000-0000E36A0000}"/>
    <cellStyle name="Normal 344 3 5 2" xfId="27364" xr:uid="{00000000-0005-0000-0000-0000E46A0000}"/>
    <cellStyle name="Normal 344 3 5 2 2" xfId="27365" xr:uid="{00000000-0005-0000-0000-0000E56A0000}"/>
    <cellStyle name="Normal 344 3 5 3" xfId="27366" xr:uid="{00000000-0005-0000-0000-0000E66A0000}"/>
    <cellStyle name="Normal 344 3 6" xfId="27367" xr:uid="{00000000-0005-0000-0000-0000E76A0000}"/>
    <cellStyle name="Normal 344 4" xfId="27368" xr:uid="{00000000-0005-0000-0000-0000E86A0000}"/>
    <cellStyle name="Normal 344 4 2" xfId="27369" xr:uid="{00000000-0005-0000-0000-0000E96A0000}"/>
    <cellStyle name="Normal 344 4 2 2" xfId="27370" xr:uid="{00000000-0005-0000-0000-0000EA6A0000}"/>
    <cellStyle name="Normal 344 4 3" xfId="27371" xr:uid="{00000000-0005-0000-0000-0000EB6A0000}"/>
    <cellStyle name="Normal 344 5" xfId="27372" xr:uid="{00000000-0005-0000-0000-0000EC6A0000}"/>
    <cellStyle name="Normal 344 5 2" xfId="27373" xr:uid="{00000000-0005-0000-0000-0000ED6A0000}"/>
    <cellStyle name="Normal 344 5 2 2" xfId="27374" xr:uid="{00000000-0005-0000-0000-0000EE6A0000}"/>
    <cellStyle name="Normal 344 5 3" xfId="27375" xr:uid="{00000000-0005-0000-0000-0000EF6A0000}"/>
    <cellStyle name="Normal 344 6" xfId="27376" xr:uid="{00000000-0005-0000-0000-0000F06A0000}"/>
    <cellStyle name="Normal 344 6 2" xfId="27377" xr:uid="{00000000-0005-0000-0000-0000F16A0000}"/>
    <cellStyle name="Normal 344 6 2 2" xfId="27378" xr:uid="{00000000-0005-0000-0000-0000F26A0000}"/>
    <cellStyle name="Normal 344 6 3" xfId="27379" xr:uid="{00000000-0005-0000-0000-0000F36A0000}"/>
    <cellStyle name="Normal 344 7" xfId="27380" xr:uid="{00000000-0005-0000-0000-0000F46A0000}"/>
    <cellStyle name="Normal 345" xfId="27381" xr:uid="{00000000-0005-0000-0000-0000F56A0000}"/>
    <cellStyle name="Normal 345 2" xfId="27382" xr:uid="{00000000-0005-0000-0000-0000F66A0000}"/>
    <cellStyle name="Normal 345 2 2" xfId="27383" xr:uid="{00000000-0005-0000-0000-0000F76A0000}"/>
    <cellStyle name="Normal 345 2 2 2" xfId="27384" xr:uid="{00000000-0005-0000-0000-0000F86A0000}"/>
    <cellStyle name="Normal 345 2 3" xfId="27385" xr:uid="{00000000-0005-0000-0000-0000F96A0000}"/>
    <cellStyle name="Normal 345 2 3 2" xfId="27386" xr:uid="{00000000-0005-0000-0000-0000FA6A0000}"/>
    <cellStyle name="Normal 345 2 3 2 2" xfId="27387" xr:uid="{00000000-0005-0000-0000-0000FB6A0000}"/>
    <cellStyle name="Normal 345 2 3 3" xfId="27388" xr:uid="{00000000-0005-0000-0000-0000FC6A0000}"/>
    <cellStyle name="Normal 345 2 4" xfId="27389" xr:uid="{00000000-0005-0000-0000-0000FD6A0000}"/>
    <cellStyle name="Normal 345 2 4 2" xfId="27390" xr:uid="{00000000-0005-0000-0000-0000FE6A0000}"/>
    <cellStyle name="Normal 345 2 4 2 2" xfId="27391" xr:uid="{00000000-0005-0000-0000-0000FF6A0000}"/>
    <cellStyle name="Normal 345 2 4 3" xfId="27392" xr:uid="{00000000-0005-0000-0000-0000006B0000}"/>
    <cellStyle name="Normal 345 2 5" xfId="27393" xr:uid="{00000000-0005-0000-0000-0000016B0000}"/>
    <cellStyle name="Normal 345 3" xfId="27394" xr:uid="{00000000-0005-0000-0000-0000026B0000}"/>
    <cellStyle name="Normal 345 3 2" xfId="27395" xr:uid="{00000000-0005-0000-0000-0000036B0000}"/>
    <cellStyle name="Normal 345 3 2 2" xfId="27396" xr:uid="{00000000-0005-0000-0000-0000046B0000}"/>
    <cellStyle name="Normal 345 3 2 2 2" xfId="27397" xr:uid="{00000000-0005-0000-0000-0000056B0000}"/>
    <cellStyle name="Normal 345 3 2 3" xfId="27398" xr:uid="{00000000-0005-0000-0000-0000066B0000}"/>
    <cellStyle name="Normal 345 3 2 3 2" xfId="27399" xr:uid="{00000000-0005-0000-0000-0000076B0000}"/>
    <cellStyle name="Normal 345 3 2 3 2 2" xfId="27400" xr:uid="{00000000-0005-0000-0000-0000086B0000}"/>
    <cellStyle name="Normal 345 3 2 3 3" xfId="27401" xr:uid="{00000000-0005-0000-0000-0000096B0000}"/>
    <cellStyle name="Normal 345 3 2 4" xfId="27402" xr:uid="{00000000-0005-0000-0000-00000A6B0000}"/>
    <cellStyle name="Normal 345 3 3" xfId="27403" xr:uid="{00000000-0005-0000-0000-00000B6B0000}"/>
    <cellStyle name="Normal 345 3 3 2" xfId="27404" xr:uid="{00000000-0005-0000-0000-00000C6B0000}"/>
    <cellStyle name="Normal 345 3 3 2 2" xfId="27405" xr:uid="{00000000-0005-0000-0000-00000D6B0000}"/>
    <cellStyle name="Normal 345 3 3 3" xfId="27406" xr:uid="{00000000-0005-0000-0000-00000E6B0000}"/>
    <cellStyle name="Normal 345 3 4" xfId="27407" xr:uid="{00000000-0005-0000-0000-00000F6B0000}"/>
    <cellStyle name="Normal 345 3 4 2" xfId="27408" xr:uid="{00000000-0005-0000-0000-0000106B0000}"/>
    <cellStyle name="Normal 345 3 4 2 2" xfId="27409" xr:uid="{00000000-0005-0000-0000-0000116B0000}"/>
    <cellStyle name="Normal 345 3 4 3" xfId="27410" xr:uid="{00000000-0005-0000-0000-0000126B0000}"/>
    <cellStyle name="Normal 345 3 5" xfId="27411" xr:uid="{00000000-0005-0000-0000-0000136B0000}"/>
    <cellStyle name="Normal 345 3 5 2" xfId="27412" xr:uid="{00000000-0005-0000-0000-0000146B0000}"/>
    <cellStyle name="Normal 345 3 5 2 2" xfId="27413" xr:uid="{00000000-0005-0000-0000-0000156B0000}"/>
    <cellStyle name="Normal 345 3 5 3" xfId="27414" xr:uid="{00000000-0005-0000-0000-0000166B0000}"/>
    <cellStyle name="Normal 345 3 6" xfId="27415" xr:uid="{00000000-0005-0000-0000-0000176B0000}"/>
    <cellStyle name="Normal 345 4" xfId="27416" xr:uid="{00000000-0005-0000-0000-0000186B0000}"/>
    <cellStyle name="Normal 345 4 2" xfId="27417" xr:uid="{00000000-0005-0000-0000-0000196B0000}"/>
    <cellStyle name="Normal 345 4 2 2" xfId="27418" xr:uid="{00000000-0005-0000-0000-00001A6B0000}"/>
    <cellStyle name="Normal 345 4 3" xfId="27419" xr:uid="{00000000-0005-0000-0000-00001B6B0000}"/>
    <cellStyle name="Normal 345 5" xfId="27420" xr:uid="{00000000-0005-0000-0000-00001C6B0000}"/>
    <cellStyle name="Normal 345 5 2" xfId="27421" xr:uid="{00000000-0005-0000-0000-00001D6B0000}"/>
    <cellStyle name="Normal 345 5 2 2" xfId="27422" xr:uid="{00000000-0005-0000-0000-00001E6B0000}"/>
    <cellStyle name="Normal 345 5 3" xfId="27423" xr:uid="{00000000-0005-0000-0000-00001F6B0000}"/>
    <cellStyle name="Normal 345 6" xfId="27424" xr:uid="{00000000-0005-0000-0000-0000206B0000}"/>
    <cellStyle name="Normal 345 6 2" xfId="27425" xr:uid="{00000000-0005-0000-0000-0000216B0000}"/>
    <cellStyle name="Normal 345 6 2 2" xfId="27426" xr:uid="{00000000-0005-0000-0000-0000226B0000}"/>
    <cellStyle name="Normal 345 6 3" xfId="27427" xr:uid="{00000000-0005-0000-0000-0000236B0000}"/>
    <cellStyle name="Normal 345 7" xfId="27428" xr:uid="{00000000-0005-0000-0000-0000246B0000}"/>
    <cellStyle name="Normal 346" xfId="27429" xr:uid="{00000000-0005-0000-0000-0000256B0000}"/>
    <cellStyle name="Normal 346 2" xfId="66" xr:uid="{00000000-0005-0000-0000-000042000000}"/>
    <cellStyle name="Normal 346 2 2" xfId="27430" xr:uid="{00000000-0005-0000-0000-0000266B0000}"/>
    <cellStyle name="Normal 346 2 2 2" xfId="27431" xr:uid="{00000000-0005-0000-0000-0000276B0000}"/>
    <cellStyle name="Normal 346 2 3" xfId="27432" xr:uid="{00000000-0005-0000-0000-0000286B0000}"/>
    <cellStyle name="Normal 346 2 3 2" xfId="27433" xr:uid="{00000000-0005-0000-0000-0000296B0000}"/>
    <cellStyle name="Normal 346 2 3 2 2" xfId="27434" xr:uid="{00000000-0005-0000-0000-00002A6B0000}"/>
    <cellStyle name="Normal 346 2 3 3" xfId="27435" xr:uid="{00000000-0005-0000-0000-00002B6B0000}"/>
    <cellStyle name="Normal 346 2 4" xfId="27436" xr:uid="{00000000-0005-0000-0000-00002C6B0000}"/>
    <cellStyle name="Normal 346 2 4 2" xfId="27437" xr:uid="{00000000-0005-0000-0000-00002D6B0000}"/>
    <cellStyle name="Normal 346 2 4 2 2" xfId="27438" xr:uid="{00000000-0005-0000-0000-00002E6B0000}"/>
    <cellStyle name="Normal 346 2 4 3" xfId="27439" xr:uid="{00000000-0005-0000-0000-00002F6B0000}"/>
    <cellStyle name="Normal 346 2 5" xfId="27440" xr:uid="{00000000-0005-0000-0000-0000306B0000}"/>
    <cellStyle name="Normal 346 3" xfId="27441" xr:uid="{00000000-0005-0000-0000-0000316B0000}"/>
    <cellStyle name="Normal 346 3 2" xfId="27442" xr:uid="{00000000-0005-0000-0000-0000326B0000}"/>
    <cellStyle name="Normal 346 3 2 2" xfId="27443" xr:uid="{00000000-0005-0000-0000-0000336B0000}"/>
    <cellStyle name="Normal 346 3 2 2 2" xfId="27444" xr:uid="{00000000-0005-0000-0000-0000346B0000}"/>
    <cellStyle name="Normal 346 3 2 3" xfId="27445" xr:uid="{00000000-0005-0000-0000-0000356B0000}"/>
    <cellStyle name="Normal 346 3 2 3 2" xfId="27446" xr:uid="{00000000-0005-0000-0000-0000366B0000}"/>
    <cellStyle name="Normal 346 3 2 3 2 2" xfId="27447" xr:uid="{00000000-0005-0000-0000-0000376B0000}"/>
    <cellStyle name="Normal 346 3 2 3 3" xfId="27448" xr:uid="{00000000-0005-0000-0000-0000386B0000}"/>
    <cellStyle name="Normal 346 3 2 4" xfId="27449" xr:uid="{00000000-0005-0000-0000-0000396B0000}"/>
    <cellStyle name="Normal 346 3 3" xfId="27450" xr:uid="{00000000-0005-0000-0000-00003A6B0000}"/>
    <cellStyle name="Normal 346 3 3 2" xfId="27451" xr:uid="{00000000-0005-0000-0000-00003B6B0000}"/>
    <cellStyle name="Normal 346 3 3 2 2" xfId="27452" xr:uid="{00000000-0005-0000-0000-00003C6B0000}"/>
    <cellStyle name="Normal 346 3 3 3" xfId="27453" xr:uid="{00000000-0005-0000-0000-00003D6B0000}"/>
    <cellStyle name="Normal 346 3 4" xfId="27454" xr:uid="{00000000-0005-0000-0000-00003E6B0000}"/>
    <cellStyle name="Normal 346 3 4 2" xfId="27455" xr:uid="{00000000-0005-0000-0000-00003F6B0000}"/>
    <cellStyle name="Normal 346 3 4 2 2" xfId="27456" xr:uid="{00000000-0005-0000-0000-0000406B0000}"/>
    <cellStyle name="Normal 346 3 4 3" xfId="27457" xr:uid="{00000000-0005-0000-0000-0000416B0000}"/>
    <cellStyle name="Normal 346 3 5" xfId="27458" xr:uid="{00000000-0005-0000-0000-0000426B0000}"/>
    <cellStyle name="Normal 346 3 5 2" xfId="27459" xr:uid="{00000000-0005-0000-0000-0000436B0000}"/>
    <cellStyle name="Normal 346 3 5 2 2" xfId="27460" xr:uid="{00000000-0005-0000-0000-0000446B0000}"/>
    <cellStyle name="Normal 346 3 5 3" xfId="27461" xr:uid="{00000000-0005-0000-0000-0000456B0000}"/>
    <cellStyle name="Normal 346 3 6" xfId="27462" xr:uid="{00000000-0005-0000-0000-0000466B0000}"/>
    <cellStyle name="Normal 346 4" xfId="27463" xr:uid="{00000000-0005-0000-0000-0000476B0000}"/>
    <cellStyle name="Normal 346 4 2" xfId="27464" xr:uid="{00000000-0005-0000-0000-0000486B0000}"/>
    <cellStyle name="Normal 346 4 2 2" xfId="27465" xr:uid="{00000000-0005-0000-0000-0000496B0000}"/>
    <cellStyle name="Normal 346 4 3" xfId="27466" xr:uid="{00000000-0005-0000-0000-00004A6B0000}"/>
    <cellStyle name="Normal 346 5" xfId="27467" xr:uid="{00000000-0005-0000-0000-00004B6B0000}"/>
    <cellStyle name="Normal 346 5 2" xfId="27468" xr:uid="{00000000-0005-0000-0000-00004C6B0000}"/>
    <cellStyle name="Normal 346 5 2 2" xfId="27469" xr:uid="{00000000-0005-0000-0000-00004D6B0000}"/>
    <cellStyle name="Normal 346 5 3" xfId="27470" xr:uid="{00000000-0005-0000-0000-00004E6B0000}"/>
    <cellStyle name="Normal 346 6" xfId="27471" xr:uid="{00000000-0005-0000-0000-00004F6B0000}"/>
    <cellStyle name="Normal 346 6 2" xfId="27472" xr:uid="{00000000-0005-0000-0000-0000506B0000}"/>
    <cellStyle name="Normal 346 6 2 2" xfId="27473" xr:uid="{00000000-0005-0000-0000-0000516B0000}"/>
    <cellStyle name="Normal 346 6 3" xfId="27474" xr:uid="{00000000-0005-0000-0000-0000526B0000}"/>
    <cellStyle name="Normal 346 7" xfId="27475" xr:uid="{00000000-0005-0000-0000-0000536B0000}"/>
    <cellStyle name="Normal 347" xfId="27476" xr:uid="{00000000-0005-0000-0000-0000546B0000}"/>
    <cellStyle name="Normal 347 2" xfId="27477" xr:uid="{00000000-0005-0000-0000-0000556B0000}"/>
    <cellStyle name="Normal 347 2 2" xfId="27478" xr:uid="{00000000-0005-0000-0000-0000566B0000}"/>
    <cellStyle name="Normal 347 2 2 2" xfId="27479" xr:uid="{00000000-0005-0000-0000-0000576B0000}"/>
    <cellStyle name="Normal 347 2 3" xfId="27480" xr:uid="{00000000-0005-0000-0000-0000586B0000}"/>
    <cellStyle name="Normal 347 2 3 2" xfId="27481" xr:uid="{00000000-0005-0000-0000-0000596B0000}"/>
    <cellStyle name="Normal 347 2 3 2 2" xfId="27482" xr:uid="{00000000-0005-0000-0000-00005A6B0000}"/>
    <cellStyle name="Normal 347 2 3 3" xfId="27483" xr:uid="{00000000-0005-0000-0000-00005B6B0000}"/>
    <cellStyle name="Normal 347 2 4" xfId="27484" xr:uid="{00000000-0005-0000-0000-00005C6B0000}"/>
    <cellStyle name="Normal 347 2 4 2" xfId="27485" xr:uid="{00000000-0005-0000-0000-00005D6B0000}"/>
    <cellStyle name="Normal 347 2 4 2 2" xfId="27486" xr:uid="{00000000-0005-0000-0000-00005E6B0000}"/>
    <cellStyle name="Normal 347 2 4 3" xfId="27487" xr:uid="{00000000-0005-0000-0000-00005F6B0000}"/>
    <cellStyle name="Normal 347 2 5" xfId="27488" xr:uid="{00000000-0005-0000-0000-0000606B0000}"/>
    <cellStyle name="Normal 347 3" xfId="27489" xr:uid="{00000000-0005-0000-0000-0000616B0000}"/>
    <cellStyle name="Normal 347 3 2" xfId="27490" xr:uid="{00000000-0005-0000-0000-0000626B0000}"/>
    <cellStyle name="Normal 347 3 2 2" xfId="27491" xr:uid="{00000000-0005-0000-0000-0000636B0000}"/>
    <cellStyle name="Normal 347 3 2 2 2" xfId="27492" xr:uid="{00000000-0005-0000-0000-0000646B0000}"/>
    <cellStyle name="Normal 347 3 2 3" xfId="27493" xr:uid="{00000000-0005-0000-0000-0000656B0000}"/>
    <cellStyle name="Normal 347 3 2 3 2" xfId="27494" xr:uid="{00000000-0005-0000-0000-0000666B0000}"/>
    <cellStyle name="Normal 347 3 2 3 2 2" xfId="27495" xr:uid="{00000000-0005-0000-0000-0000676B0000}"/>
    <cellStyle name="Normal 347 3 2 3 3" xfId="27496" xr:uid="{00000000-0005-0000-0000-0000686B0000}"/>
    <cellStyle name="Normal 347 3 2 4" xfId="27497" xr:uid="{00000000-0005-0000-0000-0000696B0000}"/>
    <cellStyle name="Normal 347 3 3" xfId="27498" xr:uid="{00000000-0005-0000-0000-00006A6B0000}"/>
    <cellStyle name="Normal 347 3 3 2" xfId="27499" xr:uid="{00000000-0005-0000-0000-00006B6B0000}"/>
    <cellStyle name="Normal 347 3 3 2 2" xfId="27500" xr:uid="{00000000-0005-0000-0000-00006C6B0000}"/>
    <cellStyle name="Normal 347 3 3 3" xfId="27501" xr:uid="{00000000-0005-0000-0000-00006D6B0000}"/>
    <cellStyle name="Normal 347 3 4" xfId="27502" xr:uid="{00000000-0005-0000-0000-00006E6B0000}"/>
    <cellStyle name="Normal 347 3 4 2" xfId="27503" xr:uid="{00000000-0005-0000-0000-00006F6B0000}"/>
    <cellStyle name="Normal 347 3 4 2 2" xfId="27504" xr:uid="{00000000-0005-0000-0000-0000706B0000}"/>
    <cellStyle name="Normal 347 3 4 3" xfId="27505" xr:uid="{00000000-0005-0000-0000-0000716B0000}"/>
    <cellStyle name="Normal 347 3 5" xfId="27506" xr:uid="{00000000-0005-0000-0000-0000726B0000}"/>
    <cellStyle name="Normal 347 3 5 2" xfId="27507" xr:uid="{00000000-0005-0000-0000-0000736B0000}"/>
    <cellStyle name="Normal 347 3 5 2 2" xfId="27508" xr:uid="{00000000-0005-0000-0000-0000746B0000}"/>
    <cellStyle name="Normal 347 3 5 3" xfId="27509" xr:uid="{00000000-0005-0000-0000-0000756B0000}"/>
    <cellStyle name="Normal 347 3 6" xfId="27510" xr:uid="{00000000-0005-0000-0000-0000766B0000}"/>
    <cellStyle name="Normal 347 4" xfId="27511" xr:uid="{00000000-0005-0000-0000-0000776B0000}"/>
    <cellStyle name="Normal 347 4 2" xfId="27512" xr:uid="{00000000-0005-0000-0000-0000786B0000}"/>
    <cellStyle name="Normal 347 4 2 2" xfId="27513" xr:uid="{00000000-0005-0000-0000-0000796B0000}"/>
    <cellStyle name="Normal 347 4 3" xfId="27514" xr:uid="{00000000-0005-0000-0000-00007A6B0000}"/>
    <cellStyle name="Normal 347 5" xfId="27515" xr:uid="{00000000-0005-0000-0000-00007B6B0000}"/>
    <cellStyle name="Normal 347 5 2" xfId="27516" xr:uid="{00000000-0005-0000-0000-00007C6B0000}"/>
    <cellStyle name="Normal 347 5 2 2" xfId="27517" xr:uid="{00000000-0005-0000-0000-00007D6B0000}"/>
    <cellStyle name="Normal 347 5 3" xfId="27518" xr:uid="{00000000-0005-0000-0000-00007E6B0000}"/>
    <cellStyle name="Normal 347 6" xfId="27519" xr:uid="{00000000-0005-0000-0000-00007F6B0000}"/>
    <cellStyle name="Normal 347 6 2" xfId="27520" xr:uid="{00000000-0005-0000-0000-0000806B0000}"/>
    <cellStyle name="Normal 347 6 2 2" xfId="27521" xr:uid="{00000000-0005-0000-0000-0000816B0000}"/>
    <cellStyle name="Normal 347 6 3" xfId="27522" xr:uid="{00000000-0005-0000-0000-0000826B0000}"/>
    <cellStyle name="Normal 347 7" xfId="27523" xr:uid="{00000000-0005-0000-0000-0000836B0000}"/>
    <cellStyle name="Normal 348" xfId="27524" xr:uid="{00000000-0005-0000-0000-0000846B0000}"/>
    <cellStyle name="Normal 348 2" xfId="67" xr:uid="{00000000-0005-0000-0000-000043000000}"/>
    <cellStyle name="Normal 348 2 2" xfId="27525" xr:uid="{00000000-0005-0000-0000-0000856B0000}"/>
    <cellStyle name="Normal 348 2 2 2" xfId="27526" xr:uid="{00000000-0005-0000-0000-0000866B0000}"/>
    <cellStyle name="Normal 348 2 3" xfId="27527" xr:uid="{00000000-0005-0000-0000-0000876B0000}"/>
    <cellStyle name="Normal 348 2 3 2" xfId="27528" xr:uid="{00000000-0005-0000-0000-0000886B0000}"/>
    <cellStyle name="Normal 348 2 3 2 2" xfId="27529" xr:uid="{00000000-0005-0000-0000-0000896B0000}"/>
    <cellStyle name="Normal 348 2 3 3" xfId="27530" xr:uid="{00000000-0005-0000-0000-00008A6B0000}"/>
    <cellStyle name="Normal 348 2 4" xfId="27531" xr:uid="{00000000-0005-0000-0000-00008B6B0000}"/>
    <cellStyle name="Normal 348 2 4 2" xfId="27532" xr:uid="{00000000-0005-0000-0000-00008C6B0000}"/>
    <cellStyle name="Normal 348 2 4 2 2" xfId="27533" xr:uid="{00000000-0005-0000-0000-00008D6B0000}"/>
    <cellStyle name="Normal 348 2 4 3" xfId="27534" xr:uid="{00000000-0005-0000-0000-00008E6B0000}"/>
    <cellStyle name="Normal 348 2 5" xfId="27535" xr:uid="{00000000-0005-0000-0000-00008F6B0000}"/>
    <cellStyle name="Normal 348 3" xfId="27536" xr:uid="{00000000-0005-0000-0000-0000906B0000}"/>
    <cellStyle name="Normal 348 3 2" xfId="27537" xr:uid="{00000000-0005-0000-0000-0000916B0000}"/>
    <cellStyle name="Normal 348 3 2 2" xfId="27538" xr:uid="{00000000-0005-0000-0000-0000926B0000}"/>
    <cellStyle name="Normal 348 3 2 2 2" xfId="27539" xr:uid="{00000000-0005-0000-0000-0000936B0000}"/>
    <cellStyle name="Normal 348 3 2 3" xfId="27540" xr:uid="{00000000-0005-0000-0000-0000946B0000}"/>
    <cellStyle name="Normal 348 3 2 3 2" xfId="27541" xr:uid="{00000000-0005-0000-0000-0000956B0000}"/>
    <cellStyle name="Normal 348 3 2 3 2 2" xfId="27542" xr:uid="{00000000-0005-0000-0000-0000966B0000}"/>
    <cellStyle name="Normal 348 3 2 3 3" xfId="27543" xr:uid="{00000000-0005-0000-0000-0000976B0000}"/>
    <cellStyle name="Normal 348 3 2 4" xfId="27544" xr:uid="{00000000-0005-0000-0000-0000986B0000}"/>
    <cellStyle name="Normal 348 3 3" xfId="27545" xr:uid="{00000000-0005-0000-0000-0000996B0000}"/>
    <cellStyle name="Normal 348 3 3 2" xfId="27546" xr:uid="{00000000-0005-0000-0000-00009A6B0000}"/>
    <cellStyle name="Normal 348 3 3 2 2" xfId="27547" xr:uid="{00000000-0005-0000-0000-00009B6B0000}"/>
    <cellStyle name="Normal 348 3 3 3" xfId="27548" xr:uid="{00000000-0005-0000-0000-00009C6B0000}"/>
    <cellStyle name="Normal 348 3 4" xfId="27549" xr:uid="{00000000-0005-0000-0000-00009D6B0000}"/>
    <cellStyle name="Normal 348 3 4 2" xfId="27550" xr:uid="{00000000-0005-0000-0000-00009E6B0000}"/>
    <cellStyle name="Normal 348 3 4 2 2" xfId="27551" xr:uid="{00000000-0005-0000-0000-00009F6B0000}"/>
    <cellStyle name="Normal 348 3 4 3" xfId="27552" xr:uid="{00000000-0005-0000-0000-0000A06B0000}"/>
    <cellStyle name="Normal 348 3 5" xfId="27553" xr:uid="{00000000-0005-0000-0000-0000A16B0000}"/>
    <cellStyle name="Normal 348 3 5 2" xfId="27554" xr:uid="{00000000-0005-0000-0000-0000A26B0000}"/>
    <cellStyle name="Normal 348 3 5 2 2" xfId="27555" xr:uid="{00000000-0005-0000-0000-0000A36B0000}"/>
    <cellStyle name="Normal 348 3 5 3" xfId="27556" xr:uid="{00000000-0005-0000-0000-0000A46B0000}"/>
    <cellStyle name="Normal 348 3 6" xfId="27557" xr:uid="{00000000-0005-0000-0000-0000A56B0000}"/>
    <cellStyle name="Normal 348 4" xfId="27558" xr:uid="{00000000-0005-0000-0000-0000A66B0000}"/>
    <cellStyle name="Normal 348 4 2" xfId="27559" xr:uid="{00000000-0005-0000-0000-0000A76B0000}"/>
    <cellStyle name="Normal 348 4 2 2" xfId="27560" xr:uid="{00000000-0005-0000-0000-0000A86B0000}"/>
    <cellStyle name="Normal 348 4 3" xfId="27561" xr:uid="{00000000-0005-0000-0000-0000A96B0000}"/>
    <cellStyle name="Normal 348 5" xfId="27562" xr:uid="{00000000-0005-0000-0000-0000AA6B0000}"/>
    <cellStyle name="Normal 348 5 2" xfId="27563" xr:uid="{00000000-0005-0000-0000-0000AB6B0000}"/>
    <cellStyle name="Normal 348 5 2 2" xfId="27564" xr:uid="{00000000-0005-0000-0000-0000AC6B0000}"/>
    <cellStyle name="Normal 348 5 3" xfId="27565" xr:uid="{00000000-0005-0000-0000-0000AD6B0000}"/>
    <cellStyle name="Normal 348 6" xfId="27566" xr:uid="{00000000-0005-0000-0000-0000AE6B0000}"/>
    <cellStyle name="Normal 348 6 2" xfId="27567" xr:uid="{00000000-0005-0000-0000-0000AF6B0000}"/>
    <cellStyle name="Normal 348 6 2 2" xfId="27568" xr:uid="{00000000-0005-0000-0000-0000B06B0000}"/>
    <cellStyle name="Normal 348 6 3" xfId="27569" xr:uid="{00000000-0005-0000-0000-0000B16B0000}"/>
    <cellStyle name="Normal 348 7" xfId="27570" xr:uid="{00000000-0005-0000-0000-0000B26B0000}"/>
    <cellStyle name="Normal 349" xfId="27571" xr:uid="{00000000-0005-0000-0000-0000B36B0000}"/>
    <cellStyle name="Normal 349 2" xfId="27572" xr:uid="{00000000-0005-0000-0000-0000B46B0000}"/>
    <cellStyle name="Normal 349 2 2" xfId="27573" xr:uid="{00000000-0005-0000-0000-0000B56B0000}"/>
    <cellStyle name="Normal 349 2 2 2" xfId="27574" xr:uid="{00000000-0005-0000-0000-0000B66B0000}"/>
    <cellStyle name="Normal 349 2 3" xfId="27575" xr:uid="{00000000-0005-0000-0000-0000B76B0000}"/>
    <cellStyle name="Normal 349 2 3 2" xfId="27576" xr:uid="{00000000-0005-0000-0000-0000B86B0000}"/>
    <cellStyle name="Normal 349 2 3 2 2" xfId="27577" xr:uid="{00000000-0005-0000-0000-0000B96B0000}"/>
    <cellStyle name="Normal 349 2 3 3" xfId="27578" xr:uid="{00000000-0005-0000-0000-0000BA6B0000}"/>
    <cellStyle name="Normal 349 2 4" xfId="27579" xr:uid="{00000000-0005-0000-0000-0000BB6B0000}"/>
    <cellStyle name="Normal 349 2 4 2" xfId="27580" xr:uid="{00000000-0005-0000-0000-0000BC6B0000}"/>
    <cellStyle name="Normal 349 2 4 2 2" xfId="27581" xr:uid="{00000000-0005-0000-0000-0000BD6B0000}"/>
    <cellStyle name="Normal 349 2 4 3" xfId="27582" xr:uid="{00000000-0005-0000-0000-0000BE6B0000}"/>
    <cellStyle name="Normal 349 2 5" xfId="27583" xr:uid="{00000000-0005-0000-0000-0000BF6B0000}"/>
    <cellStyle name="Normal 349 3" xfId="27584" xr:uid="{00000000-0005-0000-0000-0000C06B0000}"/>
    <cellStyle name="Normal 349 3 2" xfId="27585" xr:uid="{00000000-0005-0000-0000-0000C16B0000}"/>
    <cellStyle name="Normal 349 3 2 2" xfId="27586" xr:uid="{00000000-0005-0000-0000-0000C26B0000}"/>
    <cellStyle name="Normal 349 3 2 2 2" xfId="27587" xr:uid="{00000000-0005-0000-0000-0000C36B0000}"/>
    <cellStyle name="Normal 349 3 2 3" xfId="27588" xr:uid="{00000000-0005-0000-0000-0000C46B0000}"/>
    <cellStyle name="Normal 349 3 2 3 2" xfId="27589" xr:uid="{00000000-0005-0000-0000-0000C56B0000}"/>
    <cellStyle name="Normal 349 3 2 3 2 2" xfId="27590" xr:uid="{00000000-0005-0000-0000-0000C66B0000}"/>
    <cellStyle name="Normal 349 3 2 3 3" xfId="27591" xr:uid="{00000000-0005-0000-0000-0000C76B0000}"/>
    <cellStyle name="Normal 349 3 2 4" xfId="27592" xr:uid="{00000000-0005-0000-0000-0000C86B0000}"/>
    <cellStyle name="Normal 349 3 3" xfId="27593" xr:uid="{00000000-0005-0000-0000-0000C96B0000}"/>
    <cellStyle name="Normal 349 3 3 2" xfId="27594" xr:uid="{00000000-0005-0000-0000-0000CA6B0000}"/>
    <cellStyle name="Normal 349 3 3 2 2" xfId="27595" xr:uid="{00000000-0005-0000-0000-0000CB6B0000}"/>
    <cellStyle name="Normal 349 3 3 3" xfId="27596" xr:uid="{00000000-0005-0000-0000-0000CC6B0000}"/>
    <cellStyle name="Normal 349 3 4" xfId="27597" xr:uid="{00000000-0005-0000-0000-0000CD6B0000}"/>
    <cellStyle name="Normal 349 3 4 2" xfId="27598" xr:uid="{00000000-0005-0000-0000-0000CE6B0000}"/>
    <cellStyle name="Normal 349 3 4 2 2" xfId="27599" xr:uid="{00000000-0005-0000-0000-0000CF6B0000}"/>
    <cellStyle name="Normal 349 3 4 3" xfId="27600" xr:uid="{00000000-0005-0000-0000-0000D06B0000}"/>
    <cellStyle name="Normal 349 3 5" xfId="27601" xr:uid="{00000000-0005-0000-0000-0000D16B0000}"/>
    <cellStyle name="Normal 349 3 5 2" xfId="27602" xr:uid="{00000000-0005-0000-0000-0000D26B0000}"/>
    <cellStyle name="Normal 349 3 5 2 2" xfId="27603" xr:uid="{00000000-0005-0000-0000-0000D36B0000}"/>
    <cellStyle name="Normal 349 3 5 3" xfId="27604" xr:uid="{00000000-0005-0000-0000-0000D46B0000}"/>
    <cellStyle name="Normal 349 3 6" xfId="27605" xr:uid="{00000000-0005-0000-0000-0000D56B0000}"/>
    <cellStyle name="Normal 349 4" xfId="27606" xr:uid="{00000000-0005-0000-0000-0000D66B0000}"/>
    <cellStyle name="Normal 349 4 2" xfId="27607" xr:uid="{00000000-0005-0000-0000-0000D76B0000}"/>
    <cellStyle name="Normal 349 4 2 2" xfId="27608" xr:uid="{00000000-0005-0000-0000-0000D86B0000}"/>
    <cellStyle name="Normal 349 4 3" xfId="27609" xr:uid="{00000000-0005-0000-0000-0000D96B0000}"/>
    <cellStyle name="Normal 349 5" xfId="27610" xr:uid="{00000000-0005-0000-0000-0000DA6B0000}"/>
    <cellStyle name="Normal 349 5 2" xfId="27611" xr:uid="{00000000-0005-0000-0000-0000DB6B0000}"/>
    <cellStyle name="Normal 349 5 2 2" xfId="27612" xr:uid="{00000000-0005-0000-0000-0000DC6B0000}"/>
    <cellStyle name="Normal 349 5 3" xfId="27613" xr:uid="{00000000-0005-0000-0000-0000DD6B0000}"/>
    <cellStyle name="Normal 349 6" xfId="27614" xr:uid="{00000000-0005-0000-0000-0000DE6B0000}"/>
    <cellStyle name="Normal 349 6 2" xfId="27615" xr:uid="{00000000-0005-0000-0000-0000DF6B0000}"/>
    <cellStyle name="Normal 349 6 2 2" xfId="27616" xr:uid="{00000000-0005-0000-0000-0000E06B0000}"/>
    <cellStyle name="Normal 349 6 3" xfId="27617" xr:uid="{00000000-0005-0000-0000-0000E16B0000}"/>
    <cellStyle name="Normal 349 7" xfId="27618" xr:uid="{00000000-0005-0000-0000-0000E26B0000}"/>
    <cellStyle name="Normal 35" xfId="27619" xr:uid="{00000000-0005-0000-0000-0000E36B0000}"/>
    <cellStyle name="Normal 35 2" xfId="27620" xr:uid="{00000000-0005-0000-0000-0000E46B0000}"/>
    <cellStyle name="Normal 35 2 2" xfId="27621" xr:uid="{00000000-0005-0000-0000-0000E56B0000}"/>
    <cellStyle name="Normal 35 2 2 2" xfId="27622" xr:uid="{00000000-0005-0000-0000-0000E66B0000}"/>
    <cellStyle name="Normal 35 2 2 2 2" xfId="27623" xr:uid="{00000000-0005-0000-0000-0000E76B0000}"/>
    <cellStyle name="Normal 35 2 2 3" xfId="27624" xr:uid="{00000000-0005-0000-0000-0000E86B0000}"/>
    <cellStyle name="Normal 35 2 2 3 2" xfId="27625" xr:uid="{00000000-0005-0000-0000-0000E96B0000}"/>
    <cellStyle name="Normal 35 2 2 3 2 2" xfId="27626" xr:uid="{00000000-0005-0000-0000-0000EA6B0000}"/>
    <cellStyle name="Normal 35 2 2 3 3" xfId="27627" xr:uid="{00000000-0005-0000-0000-0000EB6B0000}"/>
    <cellStyle name="Normal 35 2 2 4" xfId="27628" xr:uid="{00000000-0005-0000-0000-0000EC6B0000}"/>
    <cellStyle name="Normal 35 2 2 4 2" xfId="27629" xr:uid="{00000000-0005-0000-0000-0000ED6B0000}"/>
    <cellStyle name="Normal 35 2 2 4 2 2" xfId="27630" xr:uid="{00000000-0005-0000-0000-0000EE6B0000}"/>
    <cellStyle name="Normal 35 2 2 4 3" xfId="27631" xr:uid="{00000000-0005-0000-0000-0000EF6B0000}"/>
    <cellStyle name="Normal 35 2 2 5" xfId="27632" xr:uid="{00000000-0005-0000-0000-0000F06B0000}"/>
    <cellStyle name="Normal 35 2 3" xfId="27633" xr:uid="{00000000-0005-0000-0000-0000F16B0000}"/>
    <cellStyle name="Normal 35 2 3 2" xfId="27634" xr:uid="{00000000-0005-0000-0000-0000F26B0000}"/>
    <cellStyle name="Normal 35 2 3 2 2" xfId="27635" xr:uid="{00000000-0005-0000-0000-0000F36B0000}"/>
    <cellStyle name="Normal 35 2 3 3" xfId="27636" xr:uid="{00000000-0005-0000-0000-0000F46B0000}"/>
    <cellStyle name="Normal 35 2 4" xfId="27637" xr:uid="{00000000-0005-0000-0000-0000F56B0000}"/>
    <cellStyle name="Normal 35 2 4 2" xfId="27638" xr:uid="{00000000-0005-0000-0000-0000F66B0000}"/>
    <cellStyle name="Normal 35 2 4 2 2" xfId="27639" xr:uid="{00000000-0005-0000-0000-0000F76B0000}"/>
    <cellStyle name="Normal 35 2 4 3" xfId="27640" xr:uid="{00000000-0005-0000-0000-0000F86B0000}"/>
    <cellStyle name="Normal 35 2 5" xfId="27641" xr:uid="{00000000-0005-0000-0000-0000F96B0000}"/>
    <cellStyle name="Normal 35 2 5 2" xfId="27642" xr:uid="{00000000-0005-0000-0000-0000FA6B0000}"/>
    <cellStyle name="Normal 35 2 5 2 2" xfId="27643" xr:uid="{00000000-0005-0000-0000-0000FB6B0000}"/>
    <cellStyle name="Normal 35 2 5 3" xfId="27644" xr:uid="{00000000-0005-0000-0000-0000FC6B0000}"/>
    <cellStyle name="Normal 35 2 6" xfId="27645" xr:uid="{00000000-0005-0000-0000-0000FD6B0000}"/>
    <cellStyle name="Normal 35 3" xfId="27646" xr:uid="{00000000-0005-0000-0000-0000FE6B0000}"/>
    <cellStyle name="Normal 35 3 2" xfId="27647" xr:uid="{00000000-0005-0000-0000-0000FF6B0000}"/>
    <cellStyle name="Normal 35 3 2 2" xfId="27648" xr:uid="{00000000-0005-0000-0000-0000006C0000}"/>
    <cellStyle name="Normal 35 3 3" xfId="27649" xr:uid="{00000000-0005-0000-0000-0000016C0000}"/>
    <cellStyle name="Normal 35 3 3 2" xfId="27650" xr:uid="{00000000-0005-0000-0000-0000026C0000}"/>
    <cellStyle name="Normal 35 3 3 2 2" xfId="27651" xr:uid="{00000000-0005-0000-0000-0000036C0000}"/>
    <cellStyle name="Normal 35 3 3 3" xfId="27652" xr:uid="{00000000-0005-0000-0000-0000046C0000}"/>
    <cellStyle name="Normal 35 3 4" xfId="27653" xr:uid="{00000000-0005-0000-0000-0000056C0000}"/>
    <cellStyle name="Normal 35 3 4 2" xfId="27654" xr:uid="{00000000-0005-0000-0000-0000066C0000}"/>
    <cellStyle name="Normal 35 3 4 2 2" xfId="27655" xr:uid="{00000000-0005-0000-0000-0000076C0000}"/>
    <cellStyle name="Normal 35 3 4 3" xfId="27656" xr:uid="{00000000-0005-0000-0000-0000086C0000}"/>
    <cellStyle name="Normal 35 3 5" xfId="27657" xr:uid="{00000000-0005-0000-0000-0000096C0000}"/>
    <cellStyle name="Normal 35 4" xfId="27658" xr:uid="{00000000-0005-0000-0000-00000A6C0000}"/>
    <cellStyle name="Normal 35 4 2" xfId="27659" xr:uid="{00000000-0005-0000-0000-00000B6C0000}"/>
    <cellStyle name="Normal 35 4 2 2" xfId="27660" xr:uid="{00000000-0005-0000-0000-00000C6C0000}"/>
    <cellStyle name="Normal 35 4 3" xfId="27661" xr:uid="{00000000-0005-0000-0000-00000D6C0000}"/>
    <cellStyle name="Normal 35 5" xfId="27662" xr:uid="{00000000-0005-0000-0000-00000E6C0000}"/>
    <cellStyle name="Normal 35 5 2" xfId="27663" xr:uid="{00000000-0005-0000-0000-00000F6C0000}"/>
    <cellStyle name="Normal 35 5 2 2" xfId="27664" xr:uid="{00000000-0005-0000-0000-0000106C0000}"/>
    <cellStyle name="Normal 35 5 3" xfId="27665" xr:uid="{00000000-0005-0000-0000-0000116C0000}"/>
    <cellStyle name="Normal 35 6" xfId="27666" xr:uid="{00000000-0005-0000-0000-0000126C0000}"/>
    <cellStyle name="Normal 35 6 2" xfId="27667" xr:uid="{00000000-0005-0000-0000-0000136C0000}"/>
    <cellStyle name="Normal 35 6 2 2" xfId="27668" xr:uid="{00000000-0005-0000-0000-0000146C0000}"/>
    <cellStyle name="Normal 35 6 3" xfId="27669" xr:uid="{00000000-0005-0000-0000-0000156C0000}"/>
    <cellStyle name="Normal 35 7" xfId="27670" xr:uid="{00000000-0005-0000-0000-0000166C0000}"/>
    <cellStyle name="Normal 350" xfId="68" xr:uid="{00000000-0005-0000-0000-000044000000}"/>
    <cellStyle name="Normal 350 2" xfId="27671" xr:uid="{00000000-0005-0000-0000-0000176C0000}"/>
    <cellStyle name="Normal 350 2 2" xfId="27672" xr:uid="{00000000-0005-0000-0000-0000186C0000}"/>
    <cellStyle name="Normal 350 2 2 2" xfId="27673" xr:uid="{00000000-0005-0000-0000-0000196C0000}"/>
    <cellStyle name="Normal 350 2 3" xfId="27674" xr:uid="{00000000-0005-0000-0000-00001A6C0000}"/>
    <cellStyle name="Normal 350 2 3 2" xfId="27675" xr:uid="{00000000-0005-0000-0000-00001B6C0000}"/>
    <cellStyle name="Normal 350 2 3 2 2" xfId="27676" xr:uid="{00000000-0005-0000-0000-00001C6C0000}"/>
    <cellStyle name="Normal 350 2 3 3" xfId="27677" xr:uid="{00000000-0005-0000-0000-00001D6C0000}"/>
    <cellStyle name="Normal 350 2 4" xfId="27678" xr:uid="{00000000-0005-0000-0000-00001E6C0000}"/>
    <cellStyle name="Normal 350 2 4 2" xfId="27679" xr:uid="{00000000-0005-0000-0000-00001F6C0000}"/>
    <cellStyle name="Normal 350 2 4 2 2" xfId="27680" xr:uid="{00000000-0005-0000-0000-0000206C0000}"/>
    <cellStyle name="Normal 350 2 4 3" xfId="27681" xr:uid="{00000000-0005-0000-0000-0000216C0000}"/>
    <cellStyle name="Normal 350 2 5" xfId="27682" xr:uid="{00000000-0005-0000-0000-0000226C0000}"/>
    <cellStyle name="Normal 350 3" xfId="27683" xr:uid="{00000000-0005-0000-0000-0000236C0000}"/>
    <cellStyle name="Normal 350 3 2" xfId="27684" xr:uid="{00000000-0005-0000-0000-0000246C0000}"/>
    <cellStyle name="Normal 350 3 2 2" xfId="27685" xr:uid="{00000000-0005-0000-0000-0000256C0000}"/>
    <cellStyle name="Normal 350 3 2 2 2" xfId="27686" xr:uid="{00000000-0005-0000-0000-0000266C0000}"/>
    <cellStyle name="Normal 350 3 2 3" xfId="27687" xr:uid="{00000000-0005-0000-0000-0000276C0000}"/>
    <cellStyle name="Normal 350 3 2 3 2" xfId="27688" xr:uid="{00000000-0005-0000-0000-0000286C0000}"/>
    <cellStyle name="Normal 350 3 2 3 2 2" xfId="27689" xr:uid="{00000000-0005-0000-0000-0000296C0000}"/>
    <cellStyle name="Normal 350 3 2 3 3" xfId="27690" xr:uid="{00000000-0005-0000-0000-00002A6C0000}"/>
    <cellStyle name="Normal 350 3 2 4" xfId="27691" xr:uid="{00000000-0005-0000-0000-00002B6C0000}"/>
    <cellStyle name="Normal 350 3 3" xfId="27692" xr:uid="{00000000-0005-0000-0000-00002C6C0000}"/>
    <cellStyle name="Normal 350 3 3 2" xfId="27693" xr:uid="{00000000-0005-0000-0000-00002D6C0000}"/>
    <cellStyle name="Normal 350 3 3 2 2" xfId="27694" xr:uid="{00000000-0005-0000-0000-00002E6C0000}"/>
    <cellStyle name="Normal 350 3 3 3" xfId="27695" xr:uid="{00000000-0005-0000-0000-00002F6C0000}"/>
    <cellStyle name="Normal 350 3 4" xfId="27696" xr:uid="{00000000-0005-0000-0000-0000306C0000}"/>
    <cellStyle name="Normal 350 3 4 2" xfId="27697" xr:uid="{00000000-0005-0000-0000-0000316C0000}"/>
    <cellStyle name="Normal 350 3 4 2 2" xfId="27698" xr:uid="{00000000-0005-0000-0000-0000326C0000}"/>
    <cellStyle name="Normal 350 3 4 3" xfId="27699" xr:uid="{00000000-0005-0000-0000-0000336C0000}"/>
    <cellStyle name="Normal 350 3 5" xfId="27700" xr:uid="{00000000-0005-0000-0000-0000346C0000}"/>
    <cellStyle name="Normal 350 3 5 2" xfId="27701" xr:uid="{00000000-0005-0000-0000-0000356C0000}"/>
    <cellStyle name="Normal 350 3 5 2 2" xfId="27702" xr:uid="{00000000-0005-0000-0000-0000366C0000}"/>
    <cellStyle name="Normal 350 3 5 3" xfId="27703" xr:uid="{00000000-0005-0000-0000-0000376C0000}"/>
    <cellStyle name="Normal 350 3 6" xfId="27704" xr:uid="{00000000-0005-0000-0000-0000386C0000}"/>
    <cellStyle name="Normal 350 4" xfId="27705" xr:uid="{00000000-0005-0000-0000-0000396C0000}"/>
    <cellStyle name="Normal 350 4 2" xfId="27706" xr:uid="{00000000-0005-0000-0000-00003A6C0000}"/>
    <cellStyle name="Normal 350 4 2 2" xfId="27707" xr:uid="{00000000-0005-0000-0000-00003B6C0000}"/>
    <cellStyle name="Normal 350 4 3" xfId="27708" xr:uid="{00000000-0005-0000-0000-00003C6C0000}"/>
    <cellStyle name="Normal 350 5" xfId="27709" xr:uid="{00000000-0005-0000-0000-00003D6C0000}"/>
    <cellStyle name="Normal 350 5 2" xfId="27710" xr:uid="{00000000-0005-0000-0000-00003E6C0000}"/>
    <cellStyle name="Normal 350 5 2 2" xfId="27711" xr:uid="{00000000-0005-0000-0000-00003F6C0000}"/>
    <cellStyle name="Normal 350 5 3" xfId="27712" xr:uid="{00000000-0005-0000-0000-0000406C0000}"/>
    <cellStyle name="Normal 350 6" xfId="27713" xr:uid="{00000000-0005-0000-0000-0000416C0000}"/>
    <cellStyle name="Normal 350 6 2" xfId="27714" xr:uid="{00000000-0005-0000-0000-0000426C0000}"/>
    <cellStyle name="Normal 350 6 2 2" xfId="27715" xr:uid="{00000000-0005-0000-0000-0000436C0000}"/>
    <cellStyle name="Normal 350 6 3" xfId="27716" xr:uid="{00000000-0005-0000-0000-0000446C0000}"/>
    <cellStyle name="Normal 350 7" xfId="27717" xr:uid="{00000000-0005-0000-0000-0000456C0000}"/>
    <cellStyle name="Normal 351" xfId="69" xr:uid="{00000000-0005-0000-0000-000045000000}"/>
    <cellStyle name="Normal 351 2" xfId="27718" xr:uid="{00000000-0005-0000-0000-0000466C0000}"/>
    <cellStyle name="Normal 351 2 2" xfId="27719" xr:uid="{00000000-0005-0000-0000-0000476C0000}"/>
    <cellStyle name="Normal 351 2 2 2" xfId="27720" xr:uid="{00000000-0005-0000-0000-0000486C0000}"/>
    <cellStyle name="Normal 351 2 3" xfId="27721" xr:uid="{00000000-0005-0000-0000-0000496C0000}"/>
    <cellStyle name="Normal 351 2 3 2" xfId="27722" xr:uid="{00000000-0005-0000-0000-00004A6C0000}"/>
    <cellStyle name="Normal 351 2 3 2 2" xfId="27723" xr:uid="{00000000-0005-0000-0000-00004B6C0000}"/>
    <cellStyle name="Normal 351 2 3 3" xfId="27724" xr:uid="{00000000-0005-0000-0000-00004C6C0000}"/>
    <cellStyle name="Normal 351 2 4" xfId="27725" xr:uid="{00000000-0005-0000-0000-00004D6C0000}"/>
    <cellStyle name="Normal 351 2 4 2" xfId="27726" xr:uid="{00000000-0005-0000-0000-00004E6C0000}"/>
    <cellStyle name="Normal 351 2 4 2 2" xfId="27727" xr:uid="{00000000-0005-0000-0000-00004F6C0000}"/>
    <cellStyle name="Normal 351 2 4 3" xfId="27728" xr:uid="{00000000-0005-0000-0000-0000506C0000}"/>
    <cellStyle name="Normal 351 2 5" xfId="27729" xr:uid="{00000000-0005-0000-0000-0000516C0000}"/>
    <cellStyle name="Normal 351 3" xfId="27730" xr:uid="{00000000-0005-0000-0000-0000526C0000}"/>
    <cellStyle name="Normal 351 3 2" xfId="27731" xr:uid="{00000000-0005-0000-0000-0000536C0000}"/>
    <cellStyle name="Normal 351 3 2 2" xfId="27732" xr:uid="{00000000-0005-0000-0000-0000546C0000}"/>
    <cellStyle name="Normal 351 3 2 2 2" xfId="27733" xr:uid="{00000000-0005-0000-0000-0000556C0000}"/>
    <cellStyle name="Normal 351 3 2 3" xfId="27734" xr:uid="{00000000-0005-0000-0000-0000566C0000}"/>
    <cellStyle name="Normal 351 3 2 3 2" xfId="27735" xr:uid="{00000000-0005-0000-0000-0000576C0000}"/>
    <cellStyle name="Normal 351 3 2 3 2 2" xfId="27736" xr:uid="{00000000-0005-0000-0000-0000586C0000}"/>
    <cellStyle name="Normal 351 3 2 3 3" xfId="27737" xr:uid="{00000000-0005-0000-0000-0000596C0000}"/>
    <cellStyle name="Normal 351 3 2 4" xfId="27738" xr:uid="{00000000-0005-0000-0000-00005A6C0000}"/>
    <cellStyle name="Normal 351 3 3" xfId="27739" xr:uid="{00000000-0005-0000-0000-00005B6C0000}"/>
    <cellStyle name="Normal 351 3 3 2" xfId="27740" xr:uid="{00000000-0005-0000-0000-00005C6C0000}"/>
    <cellStyle name="Normal 351 3 3 2 2" xfId="27741" xr:uid="{00000000-0005-0000-0000-00005D6C0000}"/>
    <cellStyle name="Normal 351 3 3 3" xfId="27742" xr:uid="{00000000-0005-0000-0000-00005E6C0000}"/>
    <cellStyle name="Normal 351 3 4" xfId="27743" xr:uid="{00000000-0005-0000-0000-00005F6C0000}"/>
    <cellStyle name="Normal 351 3 4 2" xfId="27744" xr:uid="{00000000-0005-0000-0000-0000606C0000}"/>
    <cellStyle name="Normal 351 3 4 2 2" xfId="27745" xr:uid="{00000000-0005-0000-0000-0000616C0000}"/>
    <cellStyle name="Normal 351 3 4 3" xfId="27746" xr:uid="{00000000-0005-0000-0000-0000626C0000}"/>
    <cellStyle name="Normal 351 3 5" xfId="27747" xr:uid="{00000000-0005-0000-0000-0000636C0000}"/>
    <cellStyle name="Normal 351 3 5 2" xfId="27748" xr:uid="{00000000-0005-0000-0000-0000646C0000}"/>
    <cellStyle name="Normal 351 3 5 2 2" xfId="27749" xr:uid="{00000000-0005-0000-0000-0000656C0000}"/>
    <cellStyle name="Normal 351 3 5 3" xfId="27750" xr:uid="{00000000-0005-0000-0000-0000666C0000}"/>
    <cellStyle name="Normal 351 3 6" xfId="27751" xr:uid="{00000000-0005-0000-0000-0000676C0000}"/>
    <cellStyle name="Normal 351 4" xfId="27752" xr:uid="{00000000-0005-0000-0000-0000686C0000}"/>
    <cellStyle name="Normal 351 4 2" xfId="27753" xr:uid="{00000000-0005-0000-0000-0000696C0000}"/>
    <cellStyle name="Normal 351 4 2 2" xfId="27754" xr:uid="{00000000-0005-0000-0000-00006A6C0000}"/>
    <cellStyle name="Normal 351 4 3" xfId="27755" xr:uid="{00000000-0005-0000-0000-00006B6C0000}"/>
    <cellStyle name="Normal 351 5" xfId="27756" xr:uid="{00000000-0005-0000-0000-00006C6C0000}"/>
    <cellStyle name="Normal 351 5 2" xfId="27757" xr:uid="{00000000-0005-0000-0000-00006D6C0000}"/>
    <cellStyle name="Normal 351 5 2 2" xfId="27758" xr:uid="{00000000-0005-0000-0000-00006E6C0000}"/>
    <cellStyle name="Normal 351 5 3" xfId="27759" xr:uid="{00000000-0005-0000-0000-00006F6C0000}"/>
    <cellStyle name="Normal 351 6" xfId="27760" xr:uid="{00000000-0005-0000-0000-0000706C0000}"/>
    <cellStyle name="Normal 351 6 2" xfId="27761" xr:uid="{00000000-0005-0000-0000-0000716C0000}"/>
    <cellStyle name="Normal 351 6 2 2" xfId="27762" xr:uid="{00000000-0005-0000-0000-0000726C0000}"/>
    <cellStyle name="Normal 351 6 3" xfId="27763" xr:uid="{00000000-0005-0000-0000-0000736C0000}"/>
    <cellStyle name="Normal 351 7" xfId="27764" xr:uid="{00000000-0005-0000-0000-0000746C0000}"/>
    <cellStyle name="Normal 352" xfId="70" xr:uid="{00000000-0005-0000-0000-000046000000}"/>
    <cellStyle name="Normal 352 2" xfId="27765" xr:uid="{00000000-0005-0000-0000-0000756C0000}"/>
    <cellStyle name="Normal 352 2 2" xfId="27766" xr:uid="{00000000-0005-0000-0000-0000766C0000}"/>
    <cellStyle name="Normal 352 2 2 2" xfId="27767" xr:uid="{00000000-0005-0000-0000-0000776C0000}"/>
    <cellStyle name="Normal 352 2 3" xfId="27768" xr:uid="{00000000-0005-0000-0000-0000786C0000}"/>
    <cellStyle name="Normal 352 2 3 2" xfId="27769" xr:uid="{00000000-0005-0000-0000-0000796C0000}"/>
    <cellStyle name="Normal 352 2 3 2 2" xfId="27770" xr:uid="{00000000-0005-0000-0000-00007A6C0000}"/>
    <cellStyle name="Normal 352 2 3 3" xfId="27771" xr:uid="{00000000-0005-0000-0000-00007B6C0000}"/>
    <cellStyle name="Normal 352 2 4" xfId="27772" xr:uid="{00000000-0005-0000-0000-00007C6C0000}"/>
    <cellStyle name="Normal 352 2 4 2" xfId="27773" xr:uid="{00000000-0005-0000-0000-00007D6C0000}"/>
    <cellStyle name="Normal 352 2 4 2 2" xfId="27774" xr:uid="{00000000-0005-0000-0000-00007E6C0000}"/>
    <cellStyle name="Normal 352 2 4 3" xfId="27775" xr:uid="{00000000-0005-0000-0000-00007F6C0000}"/>
    <cellStyle name="Normal 352 2 5" xfId="27776" xr:uid="{00000000-0005-0000-0000-0000806C0000}"/>
    <cellStyle name="Normal 352 3" xfId="27777" xr:uid="{00000000-0005-0000-0000-0000816C0000}"/>
    <cellStyle name="Normal 352 3 2" xfId="27778" xr:uid="{00000000-0005-0000-0000-0000826C0000}"/>
    <cellStyle name="Normal 352 3 2 2" xfId="27779" xr:uid="{00000000-0005-0000-0000-0000836C0000}"/>
    <cellStyle name="Normal 352 3 2 2 2" xfId="27780" xr:uid="{00000000-0005-0000-0000-0000846C0000}"/>
    <cellStyle name="Normal 352 3 2 3" xfId="27781" xr:uid="{00000000-0005-0000-0000-0000856C0000}"/>
    <cellStyle name="Normal 352 3 2 3 2" xfId="27782" xr:uid="{00000000-0005-0000-0000-0000866C0000}"/>
    <cellStyle name="Normal 352 3 2 3 2 2" xfId="27783" xr:uid="{00000000-0005-0000-0000-0000876C0000}"/>
    <cellStyle name="Normal 352 3 2 3 3" xfId="27784" xr:uid="{00000000-0005-0000-0000-0000886C0000}"/>
    <cellStyle name="Normal 352 3 2 4" xfId="27785" xr:uid="{00000000-0005-0000-0000-0000896C0000}"/>
    <cellStyle name="Normal 352 3 3" xfId="27786" xr:uid="{00000000-0005-0000-0000-00008A6C0000}"/>
    <cellStyle name="Normal 352 3 3 2" xfId="27787" xr:uid="{00000000-0005-0000-0000-00008B6C0000}"/>
    <cellStyle name="Normal 352 3 3 2 2" xfId="27788" xr:uid="{00000000-0005-0000-0000-00008C6C0000}"/>
    <cellStyle name="Normal 352 3 3 3" xfId="27789" xr:uid="{00000000-0005-0000-0000-00008D6C0000}"/>
    <cellStyle name="Normal 352 3 4" xfId="27790" xr:uid="{00000000-0005-0000-0000-00008E6C0000}"/>
    <cellStyle name="Normal 352 3 4 2" xfId="27791" xr:uid="{00000000-0005-0000-0000-00008F6C0000}"/>
    <cellStyle name="Normal 352 3 4 2 2" xfId="27792" xr:uid="{00000000-0005-0000-0000-0000906C0000}"/>
    <cellStyle name="Normal 352 3 4 3" xfId="27793" xr:uid="{00000000-0005-0000-0000-0000916C0000}"/>
    <cellStyle name="Normal 352 3 5" xfId="27794" xr:uid="{00000000-0005-0000-0000-0000926C0000}"/>
    <cellStyle name="Normal 352 3 5 2" xfId="27795" xr:uid="{00000000-0005-0000-0000-0000936C0000}"/>
    <cellStyle name="Normal 352 3 5 2 2" xfId="27796" xr:uid="{00000000-0005-0000-0000-0000946C0000}"/>
    <cellStyle name="Normal 352 3 5 3" xfId="27797" xr:uid="{00000000-0005-0000-0000-0000956C0000}"/>
    <cellStyle name="Normal 352 3 6" xfId="27798" xr:uid="{00000000-0005-0000-0000-0000966C0000}"/>
    <cellStyle name="Normal 352 4" xfId="27799" xr:uid="{00000000-0005-0000-0000-0000976C0000}"/>
    <cellStyle name="Normal 352 4 2" xfId="27800" xr:uid="{00000000-0005-0000-0000-0000986C0000}"/>
    <cellStyle name="Normal 352 4 2 2" xfId="27801" xr:uid="{00000000-0005-0000-0000-0000996C0000}"/>
    <cellStyle name="Normal 352 4 3" xfId="27802" xr:uid="{00000000-0005-0000-0000-00009A6C0000}"/>
    <cellStyle name="Normal 352 5" xfId="27803" xr:uid="{00000000-0005-0000-0000-00009B6C0000}"/>
    <cellStyle name="Normal 352 5 2" xfId="27804" xr:uid="{00000000-0005-0000-0000-00009C6C0000}"/>
    <cellStyle name="Normal 352 5 2 2" xfId="27805" xr:uid="{00000000-0005-0000-0000-00009D6C0000}"/>
    <cellStyle name="Normal 352 5 3" xfId="27806" xr:uid="{00000000-0005-0000-0000-00009E6C0000}"/>
    <cellStyle name="Normal 352 6" xfId="27807" xr:uid="{00000000-0005-0000-0000-00009F6C0000}"/>
    <cellStyle name="Normal 352 6 2" xfId="27808" xr:uid="{00000000-0005-0000-0000-0000A06C0000}"/>
    <cellStyle name="Normal 352 6 2 2" xfId="27809" xr:uid="{00000000-0005-0000-0000-0000A16C0000}"/>
    <cellStyle name="Normal 352 6 3" xfId="27810" xr:uid="{00000000-0005-0000-0000-0000A26C0000}"/>
    <cellStyle name="Normal 352 7" xfId="27811" xr:uid="{00000000-0005-0000-0000-0000A36C0000}"/>
    <cellStyle name="Normal 353" xfId="71" xr:uid="{00000000-0005-0000-0000-000047000000}"/>
    <cellStyle name="Normal 353 2" xfId="27812" xr:uid="{00000000-0005-0000-0000-0000A46C0000}"/>
    <cellStyle name="Normal 353 2 2" xfId="27813" xr:uid="{00000000-0005-0000-0000-0000A56C0000}"/>
    <cellStyle name="Normal 353 2 2 2" xfId="27814" xr:uid="{00000000-0005-0000-0000-0000A66C0000}"/>
    <cellStyle name="Normal 353 2 3" xfId="27815" xr:uid="{00000000-0005-0000-0000-0000A76C0000}"/>
    <cellStyle name="Normal 353 2 3 2" xfId="27816" xr:uid="{00000000-0005-0000-0000-0000A86C0000}"/>
    <cellStyle name="Normal 353 2 3 2 2" xfId="27817" xr:uid="{00000000-0005-0000-0000-0000A96C0000}"/>
    <cellStyle name="Normal 353 2 3 3" xfId="27818" xr:uid="{00000000-0005-0000-0000-0000AA6C0000}"/>
    <cellStyle name="Normal 353 2 4" xfId="27819" xr:uid="{00000000-0005-0000-0000-0000AB6C0000}"/>
    <cellStyle name="Normal 353 2 4 2" xfId="27820" xr:uid="{00000000-0005-0000-0000-0000AC6C0000}"/>
    <cellStyle name="Normal 353 2 4 2 2" xfId="27821" xr:uid="{00000000-0005-0000-0000-0000AD6C0000}"/>
    <cellStyle name="Normal 353 2 4 3" xfId="27822" xr:uid="{00000000-0005-0000-0000-0000AE6C0000}"/>
    <cellStyle name="Normal 353 2 5" xfId="27823" xr:uid="{00000000-0005-0000-0000-0000AF6C0000}"/>
    <cellStyle name="Normal 353 3" xfId="27824" xr:uid="{00000000-0005-0000-0000-0000B06C0000}"/>
    <cellStyle name="Normal 353 3 2" xfId="27825" xr:uid="{00000000-0005-0000-0000-0000B16C0000}"/>
    <cellStyle name="Normal 353 3 2 2" xfId="27826" xr:uid="{00000000-0005-0000-0000-0000B26C0000}"/>
    <cellStyle name="Normal 353 3 2 2 2" xfId="27827" xr:uid="{00000000-0005-0000-0000-0000B36C0000}"/>
    <cellStyle name="Normal 353 3 2 3" xfId="27828" xr:uid="{00000000-0005-0000-0000-0000B46C0000}"/>
    <cellStyle name="Normal 353 3 2 3 2" xfId="27829" xr:uid="{00000000-0005-0000-0000-0000B56C0000}"/>
    <cellStyle name="Normal 353 3 2 3 2 2" xfId="27830" xr:uid="{00000000-0005-0000-0000-0000B66C0000}"/>
    <cellStyle name="Normal 353 3 2 3 3" xfId="27831" xr:uid="{00000000-0005-0000-0000-0000B76C0000}"/>
    <cellStyle name="Normal 353 3 2 4" xfId="27832" xr:uid="{00000000-0005-0000-0000-0000B86C0000}"/>
    <cellStyle name="Normal 353 3 3" xfId="27833" xr:uid="{00000000-0005-0000-0000-0000B96C0000}"/>
    <cellStyle name="Normal 353 3 3 2" xfId="27834" xr:uid="{00000000-0005-0000-0000-0000BA6C0000}"/>
    <cellStyle name="Normal 353 3 3 2 2" xfId="27835" xr:uid="{00000000-0005-0000-0000-0000BB6C0000}"/>
    <cellStyle name="Normal 353 3 3 3" xfId="27836" xr:uid="{00000000-0005-0000-0000-0000BC6C0000}"/>
    <cellStyle name="Normal 353 3 4" xfId="27837" xr:uid="{00000000-0005-0000-0000-0000BD6C0000}"/>
    <cellStyle name="Normal 353 3 4 2" xfId="27838" xr:uid="{00000000-0005-0000-0000-0000BE6C0000}"/>
    <cellStyle name="Normal 353 3 4 2 2" xfId="27839" xr:uid="{00000000-0005-0000-0000-0000BF6C0000}"/>
    <cellStyle name="Normal 353 3 4 3" xfId="27840" xr:uid="{00000000-0005-0000-0000-0000C06C0000}"/>
    <cellStyle name="Normal 353 3 5" xfId="27841" xr:uid="{00000000-0005-0000-0000-0000C16C0000}"/>
    <cellStyle name="Normal 353 3 5 2" xfId="27842" xr:uid="{00000000-0005-0000-0000-0000C26C0000}"/>
    <cellStyle name="Normal 353 3 5 2 2" xfId="27843" xr:uid="{00000000-0005-0000-0000-0000C36C0000}"/>
    <cellStyle name="Normal 353 3 5 3" xfId="27844" xr:uid="{00000000-0005-0000-0000-0000C46C0000}"/>
    <cellStyle name="Normal 353 3 6" xfId="27845" xr:uid="{00000000-0005-0000-0000-0000C56C0000}"/>
    <cellStyle name="Normal 353 4" xfId="27846" xr:uid="{00000000-0005-0000-0000-0000C66C0000}"/>
    <cellStyle name="Normal 353 4 2" xfId="27847" xr:uid="{00000000-0005-0000-0000-0000C76C0000}"/>
    <cellStyle name="Normal 353 4 2 2" xfId="27848" xr:uid="{00000000-0005-0000-0000-0000C86C0000}"/>
    <cellStyle name="Normal 353 4 3" xfId="27849" xr:uid="{00000000-0005-0000-0000-0000C96C0000}"/>
    <cellStyle name="Normal 353 5" xfId="27850" xr:uid="{00000000-0005-0000-0000-0000CA6C0000}"/>
    <cellStyle name="Normal 353 5 2" xfId="27851" xr:uid="{00000000-0005-0000-0000-0000CB6C0000}"/>
    <cellStyle name="Normal 353 5 2 2" xfId="27852" xr:uid="{00000000-0005-0000-0000-0000CC6C0000}"/>
    <cellStyle name="Normal 353 5 3" xfId="27853" xr:uid="{00000000-0005-0000-0000-0000CD6C0000}"/>
    <cellStyle name="Normal 353 6" xfId="27854" xr:uid="{00000000-0005-0000-0000-0000CE6C0000}"/>
    <cellStyle name="Normal 353 6 2" xfId="27855" xr:uid="{00000000-0005-0000-0000-0000CF6C0000}"/>
    <cellStyle name="Normal 353 6 2 2" xfId="27856" xr:uid="{00000000-0005-0000-0000-0000D06C0000}"/>
    <cellStyle name="Normal 353 6 3" xfId="27857" xr:uid="{00000000-0005-0000-0000-0000D16C0000}"/>
    <cellStyle name="Normal 353 7" xfId="27858" xr:uid="{00000000-0005-0000-0000-0000D26C0000}"/>
    <cellStyle name="Normal 354" xfId="72" xr:uid="{00000000-0005-0000-0000-000048000000}"/>
    <cellStyle name="Normal 354 2" xfId="27859" xr:uid="{00000000-0005-0000-0000-0000D36C0000}"/>
    <cellStyle name="Normal 354 2 2" xfId="27860" xr:uid="{00000000-0005-0000-0000-0000D46C0000}"/>
    <cellStyle name="Normal 354 2 2 2" xfId="27861" xr:uid="{00000000-0005-0000-0000-0000D56C0000}"/>
    <cellStyle name="Normal 354 2 3" xfId="27862" xr:uid="{00000000-0005-0000-0000-0000D66C0000}"/>
    <cellStyle name="Normal 354 2 3 2" xfId="27863" xr:uid="{00000000-0005-0000-0000-0000D76C0000}"/>
    <cellStyle name="Normal 354 2 3 2 2" xfId="27864" xr:uid="{00000000-0005-0000-0000-0000D86C0000}"/>
    <cellStyle name="Normal 354 2 3 3" xfId="27865" xr:uid="{00000000-0005-0000-0000-0000D96C0000}"/>
    <cellStyle name="Normal 354 2 4" xfId="27866" xr:uid="{00000000-0005-0000-0000-0000DA6C0000}"/>
    <cellStyle name="Normal 354 2 4 2" xfId="27867" xr:uid="{00000000-0005-0000-0000-0000DB6C0000}"/>
    <cellStyle name="Normal 354 2 4 2 2" xfId="27868" xr:uid="{00000000-0005-0000-0000-0000DC6C0000}"/>
    <cellStyle name="Normal 354 2 4 3" xfId="27869" xr:uid="{00000000-0005-0000-0000-0000DD6C0000}"/>
    <cellStyle name="Normal 354 2 5" xfId="27870" xr:uid="{00000000-0005-0000-0000-0000DE6C0000}"/>
    <cellStyle name="Normal 354 3" xfId="27871" xr:uid="{00000000-0005-0000-0000-0000DF6C0000}"/>
    <cellStyle name="Normal 354 3 2" xfId="27872" xr:uid="{00000000-0005-0000-0000-0000E06C0000}"/>
    <cellStyle name="Normal 354 3 2 2" xfId="27873" xr:uid="{00000000-0005-0000-0000-0000E16C0000}"/>
    <cellStyle name="Normal 354 3 2 2 2" xfId="27874" xr:uid="{00000000-0005-0000-0000-0000E26C0000}"/>
    <cellStyle name="Normal 354 3 2 3" xfId="27875" xr:uid="{00000000-0005-0000-0000-0000E36C0000}"/>
    <cellStyle name="Normal 354 3 2 3 2" xfId="27876" xr:uid="{00000000-0005-0000-0000-0000E46C0000}"/>
    <cellStyle name="Normal 354 3 2 3 2 2" xfId="27877" xr:uid="{00000000-0005-0000-0000-0000E56C0000}"/>
    <cellStyle name="Normal 354 3 2 3 3" xfId="27878" xr:uid="{00000000-0005-0000-0000-0000E66C0000}"/>
    <cellStyle name="Normal 354 3 2 4" xfId="27879" xr:uid="{00000000-0005-0000-0000-0000E76C0000}"/>
    <cellStyle name="Normal 354 3 3" xfId="27880" xr:uid="{00000000-0005-0000-0000-0000E86C0000}"/>
    <cellStyle name="Normal 354 3 3 2" xfId="27881" xr:uid="{00000000-0005-0000-0000-0000E96C0000}"/>
    <cellStyle name="Normal 354 3 3 2 2" xfId="27882" xr:uid="{00000000-0005-0000-0000-0000EA6C0000}"/>
    <cellStyle name="Normal 354 3 3 3" xfId="27883" xr:uid="{00000000-0005-0000-0000-0000EB6C0000}"/>
    <cellStyle name="Normal 354 3 4" xfId="27884" xr:uid="{00000000-0005-0000-0000-0000EC6C0000}"/>
    <cellStyle name="Normal 354 3 4 2" xfId="27885" xr:uid="{00000000-0005-0000-0000-0000ED6C0000}"/>
    <cellStyle name="Normal 354 3 4 2 2" xfId="27886" xr:uid="{00000000-0005-0000-0000-0000EE6C0000}"/>
    <cellStyle name="Normal 354 3 4 3" xfId="27887" xr:uid="{00000000-0005-0000-0000-0000EF6C0000}"/>
    <cellStyle name="Normal 354 3 5" xfId="27888" xr:uid="{00000000-0005-0000-0000-0000F06C0000}"/>
    <cellStyle name="Normal 354 3 5 2" xfId="27889" xr:uid="{00000000-0005-0000-0000-0000F16C0000}"/>
    <cellStyle name="Normal 354 3 5 2 2" xfId="27890" xr:uid="{00000000-0005-0000-0000-0000F26C0000}"/>
    <cellStyle name="Normal 354 3 5 3" xfId="27891" xr:uid="{00000000-0005-0000-0000-0000F36C0000}"/>
    <cellStyle name="Normal 354 3 6" xfId="27892" xr:uid="{00000000-0005-0000-0000-0000F46C0000}"/>
    <cellStyle name="Normal 354 4" xfId="27893" xr:uid="{00000000-0005-0000-0000-0000F56C0000}"/>
    <cellStyle name="Normal 354 4 2" xfId="27894" xr:uid="{00000000-0005-0000-0000-0000F66C0000}"/>
    <cellStyle name="Normal 354 4 2 2" xfId="27895" xr:uid="{00000000-0005-0000-0000-0000F76C0000}"/>
    <cellStyle name="Normal 354 4 3" xfId="27896" xr:uid="{00000000-0005-0000-0000-0000F86C0000}"/>
    <cellStyle name="Normal 354 5" xfId="27897" xr:uid="{00000000-0005-0000-0000-0000F96C0000}"/>
    <cellStyle name="Normal 354 5 2" xfId="27898" xr:uid="{00000000-0005-0000-0000-0000FA6C0000}"/>
    <cellStyle name="Normal 354 5 2 2" xfId="27899" xr:uid="{00000000-0005-0000-0000-0000FB6C0000}"/>
    <cellStyle name="Normal 354 5 3" xfId="27900" xr:uid="{00000000-0005-0000-0000-0000FC6C0000}"/>
    <cellStyle name="Normal 354 6" xfId="27901" xr:uid="{00000000-0005-0000-0000-0000FD6C0000}"/>
    <cellStyle name="Normal 354 6 2" xfId="27902" xr:uid="{00000000-0005-0000-0000-0000FE6C0000}"/>
    <cellStyle name="Normal 354 6 2 2" xfId="27903" xr:uid="{00000000-0005-0000-0000-0000FF6C0000}"/>
    <cellStyle name="Normal 354 6 3" xfId="27904" xr:uid="{00000000-0005-0000-0000-0000006D0000}"/>
    <cellStyle name="Normal 354 7" xfId="27905" xr:uid="{00000000-0005-0000-0000-0000016D0000}"/>
    <cellStyle name="Normal 355" xfId="73" xr:uid="{00000000-0005-0000-0000-000049000000}"/>
    <cellStyle name="Normal 355 2" xfId="27906" xr:uid="{00000000-0005-0000-0000-0000026D0000}"/>
    <cellStyle name="Normal 355 2 2" xfId="27907" xr:uid="{00000000-0005-0000-0000-0000036D0000}"/>
    <cellStyle name="Normal 355 2 2 2" xfId="27908" xr:uid="{00000000-0005-0000-0000-0000046D0000}"/>
    <cellStyle name="Normal 355 2 3" xfId="27909" xr:uid="{00000000-0005-0000-0000-0000056D0000}"/>
    <cellStyle name="Normal 355 2 3 2" xfId="27910" xr:uid="{00000000-0005-0000-0000-0000066D0000}"/>
    <cellStyle name="Normal 355 2 3 2 2" xfId="27911" xr:uid="{00000000-0005-0000-0000-0000076D0000}"/>
    <cellStyle name="Normal 355 2 3 3" xfId="27912" xr:uid="{00000000-0005-0000-0000-0000086D0000}"/>
    <cellStyle name="Normal 355 2 4" xfId="27913" xr:uid="{00000000-0005-0000-0000-0000096D0000}"/>
    <cellStyle name="Normal 355 2 4 2" xfId="27914" xr:uid="{00000000-0005-0000-0000-00000A6D0000}"/>
    <cellStyle name="Normal 355 2 4 2 2" xfId="27915" xr:uid="{00000000-0005-0000-0000-00000B6D0000}"/>
    <cellStyle name="Normal 355 2 4 3" xfId="27916" xr:uid="{00000000-0005-0000-0000-00000C6D0000}"/>
    <cellStyle name="Normal 355 2 5" xfId="27917" xr:uid="{00000000-0005-0000-0000-00000D6D0000}"/>
    <cellStyle name="Normal 355 3" xfId="27918" xr:uid="{00000000-0005-0000-0000-00000E6D0000}"/>
    <cellStyle name="Normal 355 3 2" xfId="27919" xr:uid="{00000000-0005-0000-0000-00000F6D0000}"/>
    <cellStyle name="Normal 355 3 2 2" xfId="27920" xr:uid="{00000000-0005-0000-0000-0000106D0000}"/>
    <cellStyle name="Normal 355 3 2 2 2" xfId="27921" xr:uid="{00000000-0005-0000-0000-0000116D0000}"/>
    <cellStyle name="Normal 355 3 2 3" xfId="27922" xr:uid="{00000000-0005-0000-0000-0000126D0000}"/>
    <cellStyle name="Normal 355 3 2 3 2" xfId="27923" xr:uid="{00000000-0005-0000-0000-0000136D0000}"/>
    <cellStyle name="Normal 355 3 2 3 2 2" xfId="27924" xr:uid="{00000000-0005-0000-0000-0000146D0000}"/>
    <cellStyle name="Normal 355 3 2 3 3" xfId="27925" xr:uid="{00000000-0005-0000-0000-0000156D0000}"/>
    <cellStyle name="Normal 355 3 2 4" xfId="27926" xr:uid="{00000000-0005-0000-0000-0000166D0000}"/>
    <cellStyle name="Normal 355 3 3" xfId="27927" xr:uid="{00000000-0005-0000-0000-0000176D0000}"/>
    <cellStyle name="Normal 355 3 3 2" xfId="27928" xr:uid="{00000000-0005-0000-0000-0000186D0000}"/>
    <cellStyle name="Normal 355 3 3 2 2" xfId="27929" xr:uid="{00000000-0005-0000-0000-0000196D0000}"/>
    <cellStyle name="Normal 355 3 3 3" xfId="27930" xr:uid="{00000000-0005-0000-0000-00001A6D0000}"/>
    <cellStyle name="Normal 355 3 4" xfId="27931" xr:uid="{00000000-0005-0000-0000-00001B6D0000}"/>
    <cellStyle name="Normal 355 3 4 2" xfId="27932" xr:uid="{00000000-0005-0000-0000-00001C6D0000}"/>
    <cellStyle name="Normal 355 3 4 2 2" xfId="27933" xr:uid="{00000000-0005-0000-0000-00001D6D0000}"/>
    <cellStyle name="Normal 355 3 4 3" xfId="27934" xr:uid="{00000000-0005-0000-0000-00001E6D0000}"/>
    <cellStyle name="Normal 355 3 5" xfId="27935" xr:uid="{00000000-0005-0000-0000-00001F6D0000}"/>
    <cellStyle name="Normal 355 3 5 2" xfId="27936" xr:uid="{00000000-0005-0000-0000-0000206D0000}"/>
    <cellStyle name="Normal 355 3 5 2 2" xfId="27937" xr:uid="{00000000-0005-0000-0000-0000216D0000}"/>
    <cellStyle name="Normal 355 3 5 3" xfId="27938" xr:uid="{00000000-0005-0000-0000-0000226D0000}"/>
    <cellStyle name="Normal 355 3 6" xfId="27939" xr:uid="{00000000-0005-0000-0000-0000236D0000}"/>
    <cellStyle name="Normal 355 4" xfId="27940" xr:uid="{00000000-0005-0000-0000-0000246D0000}"/>
    <cellStyle name="Normal 355 4 2" xfId="27941" xr:uid="{00000000-0005-0000-0000-0000256D0000}"/>
    <cellStyle name="Normal 355 4 2 2" xfId="27942" xr:uid="{00000000-0005-0000-0000-0000266D0000}"/>
    <cellStyle name="Normal 355 4 3" xfId="27943" xr:uid="{00000000-0005-0000-0000-0000276D0000}"/>
    <cellStyle name="Normal 355 5" xfId="27944" xr:uid="{00000000-0005-0000-0000-0000286D0000}"/>
    <cellStyle name="Normal 355 5 2" xfId="27945" xr:uid="{00000000-0005-0000-0000-0000296D0000}"/>
    <cellStyle name="Normal 355 5 2 2" xfId="27946" xr:uid="{00000000-0005-0000-0000-00002A6D0000}"/>
    <cellStyle name="Normal 355 5 3" xfId="27947" xr:uid="{00000000-0005-0000-0000-00002B6D0000}"/>
    <cellStyle name="Normal 355 6" xfId="27948" xr:uid="{00000000-0005-0000-0000-00002C6D0000}"/>
    <cellStyle name="Normal 355 6 2" xfId="27949" xr:uid="{00000000-0005-0000-0000-00002D6D0000}"/>
    <cellStyle name="Normal 355 6 2 2" xfId="27950" xr:uid="{00000000-0005-0000-0000-00002E6D0000}"/>
    <cellStyle name="Normal 355 6 3" xfId="27951" xr:uid="{00000000-0005-0000-0000-00002F6D0000}"/>
    <cellStyle name="Normal 355 7" xfId="27952" xr:uid="{00000000-0005-0000-0000-0000306D0000}"/>
    <cellStyle name="Normal 356" xfId="27953" xr:uid="{00000000-0005-0000-0000-0000316D0000}"/>
    <cellStyle name="Normal 356 2" xfId="27954" xr:uid="{00000000-0005-0000-0000-0000326D0000}"/>
    <cellStyle name="Normal 356 2 2" xfId="27955" xr:uid="{00000000-0005-0000-0000-0000336D0000}"/>
    <cellStyle name="Normal 356 2 2 2" xfId="27956" xr:uid="{00000000-0005-0000-0000-0000346D0000}"/>
    <cellStyle name="Normal 356 2 3" xfId="27957" xr:uid="{00000000-0005-0000-0000-0000356D0000}"/>
    <cellStyle name="Normal 356 2 3 2" xfId="27958" xr:uid="{00000000-0005-0000-0000-0000366D0000}"/>
    <cellStyle name="Normal 356 2 3 2 2" xfId="27959" xr:uid="{00000000-0005-0000-0000-0000376D0000}"/>
    <cellStyle name="Normal 356 2 3 3" xfId="27960" xr:uid="{00000000-0005-0000-0000-0000386D0000}"/>
    <cellStyle name="Normal 356 2 4" xfId="27961" xr:uid="{00000000-0005-0000-0000-0000396D0000}"/>
    <cellStyle name="Normal 356 2 4 2" xfId="27962" xr:uid="{00000000-0005-0000-0000-00003A6D0000}"/>
    <cellStyle name="Normal 356 2 4 2 2" xfId="27963" xr:uid="{00000000-0005-0000-0000-00003B6D0000}"/>
    <cellStyle name="Normal 356 2 4 3" xfId="27964" xr:uid="{00000000-0005-0000-0000-00003C6D0000}"/>
    <cellStyle name="Normal 356 2 5" xfId="27965" xr:uid="{00000000-0005-0000-0000-00003D6D0000}"/>
    <cellStyle name="Normal 356 3" xfId="27966" xr:uid="{00000000-0005-0000-0000-00003E6D0000}"/>
    <cellStyle name="Normal 356 3 2" xfId="27967" xr:uid="{00000000-0005-0000-0000-00003F6D0000}"/>
    <cellStyle name="Normal 356 3 2 2" xfId="27968" xr:uid="{00000000-0005-0000-0000-0000406D0000}"/>
    <cellStyle name="Normal 356 3 2 2 2" xfId="27969" xr:uid="{00000000-0005-0000-0000-0000416D0000}"/>
    <cellStyle name="Normal 356 3 2 3" xfId="27970" xr:uid="{00000000-0005-0000-0000-0000426D0000}"/>
    <cellStyle name="Normal 356 3 2 3 2" xfId="27971" xr:uid="{00000000-0005-0000-0000-0000436D0000}"/>
    <cellStyle name="Normal 356 3 2 3 2 2" xfId="27972" xr:uid="{00000000-0005-0000-0000-0000446D0000}"/>
    <cellStyle name="Normal 356 3 2 3 3" xfId="27973" xr:uid="{00000000-0005-0000-0000-0000456D0000}"/>
    <cellStyle name="Normal 356 3 2 4" xfId="27974" xr:uid="{00000000-0005-0000-0000-0000466D0000}"/>
    <cellStyle name="Normal 356 3 3" xfId="27975" xr:uid="{00000000-0005-0000-0000-0000476D0000}"/>
    <cellStyle name="Normal 356 3 3 2" xfId="27976" xr:uid="{00000000-0005-0000-0000-0000486D0000}"/>
    <cellStyle name="Normal 356 3 3 2 2" xfId="27977" xr:uid="{00000000-0005-0000-0000-0000496D0000}"/>
    <cellStyle name="Normal 356 3 3 3" xfId="27978" xr:uid="{00000000-0005-0000-0000-00004A6D0000}"/>
    <cellStyle name="Normal 356 3 4" xfId="27979" xr:uid="{00000000-0005-0000-0000-00004B6D0000}"/>
    <cellStyle name="Normal 356 3 4 2" xfId="27980" xr:uid="{00000000-0005-0000-0000-00004C6D0000}"/>
    <cellStyle name="Normal 356 3 4 2 2" xfId="27981" xr:uid="{00000000-0005-0000-0000-00004D6D0000}"/>
    <cellStyle name="Normal 356 3 4 3" xfId="27982" xr:uid="{00000000-0005-0000-0000-00004E6D0000}"/>
    <cellStyle name="Normal 356 3 5" xfId="27983" xr:uid="{00000000-0005-0000-0000-00004F6D0000}"/>
    <cellStyle name="Normal 356 3 5 2" xfId="27984" xr:uid="{00000000-0005-0000-0000-0000506D0000}"/>
    <cellStyle name="Normal 356 3 5 2 2" xfId="27985" xr:uid="{00000000-0005-0000-0000-0000516D0000}"/>
    <cellStyle name="Normal 356 3 5 3" xfId="27986" xr:uid="{00000000-0005-0000-0000-0000526D0000}"/>
    <cellStyle name="Normal 356 3 6" xfId="27987" xr:uid="{00000000-0005-0000-0000-0000536D0000}"/>
    <cellStyle name="Normal 356 4" xfId="27988" xr:uid="{00000000-0005-0000-0000-0000546D0000}"/>
    <cellStyle name="Normal 356 4 2" xfId="27989" xr:uid="{00000000-0005-0000-0000-0000556D0000}"/>
    <cellStyle name="Normal 356 4 2 2" xfId="27990" xr:uid="{00000000-0005-0000-0000-0000566D0000}"/>
    <cellStyle name="Normal 356 4 3" xfId="27991" xr:uid="{00000000-0005-0000-0000-0000576D0000}"/>
    <cellStyle name="Normal 356 5" xfId="27992" xr:uid="{00000000-0005-0000-0000-0000586D0000}"/>
    <cellStyle name="Normal 356 5 2" xfId="27993" xr:uid="{00000000-0005-0000-0000-0000596D0000}"/>
    <cellStyle name="Normal 356 5 2 2" xfId="27994" xr:uid="{00000000-0005-0000-0000-00005A6D0000}"/>
    <cellStyle name="Normal 356 5 3" xfId="27995" xr:uid="{00000000-0005-0000-0000-00005B6D0000}"/>
    <cellStyle name="Normal 356 6" xfId="27996" xr:uid="{00000000-0005-0000-0000-00005C6D0000}"/>
    <cellStyle name="Normal 356 6 2" xfId="27997" xr:uid="{00000000-0005-0000-0000-00005D6D0000}"/>
    <cellStyle name="Normal 356 6 2 2" xfId="27998" xr:uid="{00000000-0005-0000-0000-00005E6D0000}"/>
    <cellStyle name="Normal 356 6 3" xfId="27999" xr:uid="{00000000-0005-0000-0000-00005F6D0000}"/>
    <cellStyle name="Normal 356 7" xfId="28000" xr:uid="{00000000-0005-0000-0000-0000606D0000}"/>
    <cellStyle name="Normal 357" xfId="28001" xr:uid="{00000000-0005-0000-0000-0000616D0000}"/>
    <cellStyle name="Normal 357 2" xfId="28002" xr:uid="{00000000-0005-0000-0000-0000626D0000}"/>
    <cellStyle name="Normal 357 2 2" xfId="28003" xr:uid="{00000000-0005-0000-0000-0000636D0000}"/>
    <cellStyle name="Normal 357 2 2 2" xfId="28004" xr:uid="{00000000-0005-0000-0000-0000646D0000}"/>
    <cellStyle name="Normal 357 2 3" xfId="28005" xr:uid="{00000000-0005-0000-0000-0000656D0000}"/>
    <cellStyle name="Normal 357 2 3 2" xfId="28006" xr:uid="{00000000-0005-0000-0000-0000666D0000}"/>
    <cellStyle name="Normal 357 2 3 2 2" xfId="28007" xr:uid="{00000000-0005-0000-0000-0000676D0000}"/>
    <cellStyle name="Normal 357 2 3 3" xfId="28008" xr:uid="{00000000-0005-0000-0000-0000686D0000}"/>
    <cellStyle name="Normal 357 2 4" xfId="28009" xr:uid="{00000000-0005-0000-0000-0000696D0000}"/>
    <cellStyle name="Normal 357 2 4 2" xfId="28010" xr:uid="{00000000-0005-0000-0000-00006A6D0000}"/>
    <cellStyle name="Normal 357 2 4 2 2" xfId="28011" xr:uid="{00000000-0005-0000-0000-00006B6D0000}"/>
    <cellStyle name="Normal 357 2 4 3" xfId="28012" xr:uid="{00000000-0005-0000-0000-00006C6D0000}"/>
    <cellStyle name="Normal 357 2 5" xfId="28013" xr:uid="{00000000-0005-0000-0000-00006D6D0000}"/>
    <cellStyle name="Normal 357 3" xfId="28014" xr:uid="{00000000-0005-0000-0000-00006E6D0000}"/>
    <cellStyle name="Normal 357 3 2" xfId="28015" xr:uid="{00000000-0005-0000-0000-00006F6D0000}"/>
    <cellStyle name="Normal 357 3 2 2" xfId="28016" xr:uid="{00000000-0005-0000-0000-0000706D0000}"/>
    <cellStyle name="Normal 357 3 2 2 2" xfId="28017" xr:uid="{00000000-0005-0000-0000-0000716D0000}"/>
    <cellStyle name="Normal 357 3 2 3" xfId="28018" xr:uid="{00000000-0005-0000-0000-0000726D0000}"/>
    <cellStyle name="Normal 357 3 2 3 2" xfId="28019" xr:uid="{00000000-0005-0000-0000-0000736D0000}"/>
    <cellStyle name="Normal 357 3 2 3 2 2" xfId="28020" xr:uid="{00000000-0005-0000-0000-0000746D0000}"/>
    <cellStyle name="Normal 357 3 2 3 3" xfId="28021" xr:uid="{00000000-0005-0000-0000-0000756D0000}"/>
    <cellStyle name="Normal 357 3 2 4" xfId="28022" xr:uid="{00000000-0005-0000-0000-0000766D0000}"/>
    <cellStyle name="Normal 357 3 3" xfId="28023" xr:uid="{00000000-0005-0000-0000-0000776D0000}"/>
    <cellStyle name="Normal 357 3 3 2" xfId="28024" xr:uid="{00000000-0005-0000-0000-0000786D0000}"/>
    <cellStyle name="Normal 357 3 3 2 2" xfId="28025" xr:uid="{00000000-0005-0000-0000-0000796D0000}"/>
    <cellStyle name="Normal 357 3 3 3" xfId="28026" xr:uid="{00000000-0005-0000-0000-00007A6D0000}"/>
    <cellStyle name="Normal 357 3 4" xfId="28027" xr:uid="{00000000-0005-0000-0000-00007B6D0000}"/>
    <cellStyle name="Normal 357 3 4 2" xfId="28028" xr:uid="{00000000-0005-0000-0000-00007C6D0000}"/>
    <cellStyle name="Normal 357 3 4 2 2" xfId="28029" xr:uid="{00000000-0005-0000-0000-00007D6D0000}"/>
    <cellStyle name="Normal 357 3 4 3" xfId="28030" xr:uid="{00000000-0005-0000-0000-00007E6D0000}"/>
    <cellStyle name="Normal 357 3 5" xfId="28031" xr:uid="{00000000-0005-0000-0000-00007F6D0000}"/>
    <cellStyle name="Normal 357 3 5 2" xfId="28032" xr:uid="{00000000-0005-0000-0000-0000806D0000}"/>
    <cellStyle name="Normal 357 3 5 2 2" xfId="28033" xr:uid="{00000000-0005-0000-0000-0000816D0000}"/>
    <cellStyle name="Normal 357 3 5 3" xfId="28034" xr:uid="{00000000-0005-0000-0000-0000826D0000}"/>
    <cellStyle name="Normal 357 3 6" xfId="28035" xr:uid="{00000000-0005-0000-0000-0000836D0000}"/>
    <cellStyle name="Normal 357 4" xfId="28036" xr:uid="{00000000-0005-0000-0000-0000846D0000}"/>
    <cellStyle name="Normal 357 4 2" xfId="28037" xr:uid="{00000000-0005-0000-0000-0000856D0000}"/>
    <cellStyle name="Normal 357 4 2 2" xfId="28038" xr:uid="{00000000-0005-0000-0000-0000866D0000}"/>
    <cellStyle name="Normal 357 4 3" xfId="28039" xr:uid="{00000000-0005-0000-0000-0000876D0000}"/>
    <cellStyle name="Normal 357 5" xfId="28040" xr:uid="{00000000-0005-0000-0000-0000886D0000}"/>
    <cellStyle name="Normal 357 5 2" xfId="28041" xr:uid="{00000000-0005-0000-0000-0000896D0000}"/>
    <cellStyle name="Normal 357 5 2 2" xfId="28042" xr:uid="{00000000-0005-0000-0000-00008A6D0000}"/>
    <cellStyle name="Normal 357 5 3" xfId="28043" xr:uid="{00000000-0005-0000-0000-00008B6D0000}"/>
    <cellStyle name="Normal 357 6" xfId="28044" xr:uid="{00000000-0005-0000-0000-00008C6D0000}"/>
    <cellStyle name="Normal 357 6 2" xfId="28045" xr:uid="{00000000-0005-0000-0000-00008D6D0000}"/>
    <cellStyle name="Normal 357 6 2 2" xfId="28046" xr:uid="{00000000-0005-0000-0000-00008E6D0000}"/>
    <cellStyle name="Normal 357 6 3" xfId="28047" xr:uid="{00000000-0005-0000-0000-00008F6D0000}"/>
    <cellStyle name="Normal 357 7" xfId="28048" xr:uid="{00000000-0005-0000-0000-0000906D0000}"/>
    <cellStyle name="Normal 358" xfId="28049" xr:uid="{00000000-0005-0000-0000-0000916D0000}"/>
    <cellStyle name="Normal 358 2" xfId="28050" xr:uid="{00000000-0005-0000-0000-0000926D0000}"/>
    <cellStyle name="Normal 358 2 2" xfId="28051" xr:uid="{00000000-0005-0000-0000-0000936D0000}"/>
    <cellStyle name="Normal 358 2 2 2" xfId="28052" xr:uid="{00000000-0005-0000-0000-0000946D0000}"/>
    <cellStyle name="Normal 358 2 3" xfId="28053" xr:uid="{00000000-0005-0000-0000-0000956D0000}"/>
    <cellStyle name="Normal 358 2 3 2" xfId="28054" xr:uid="{00000000-0005-0000-0000-0000966D0000}"/>
    <cellStyle name="Normal 358 2 3 2 2" xfId="28055" xr:uid="{00000000-0005-0000-0000-0000976D0000}"/>
    <cellStyle name="Normal 358 2 3 3" xfId="28056" xr:uid="{00000000-0005-0000-0000-0000986D0000}"/>
    <cellStyle name="Normal 358 2 4" xfId="28057" xr:uid="{00000000-0005-0000-0000-0000996D0000}"/>
    <cellStyle name="Normal 358 2 4 2" xfId="28058" xr:uid="{00000000-0005-0000-0000-00009A6D0000}"/>
    <cellStyle name="Normal 358 2 4 2 2" xfId="28059" xr:uid="{00000000-0005-0000-0000-00009B6D0000}"/>
    <cellStyle name="Normal 358 2 4 3" xfId="28060" xr:uid="{00000000-0005-0000-0000-00009C6D0000}"/>
    <cellStyle name="Normal 358 2 5" xfId="28061" xr:uid="{00000000-0005-0000-0000-00009D6D0000}"/>
    <cellStyle name="Normal 358 3" xfId="28062" xr:uid="{00000000-0005-0000-0000-00009E6D0000}"/>
    <cellStyle name="Normal 358 3 2" xfId="28063" xr:uid="{00000000-0005-0000-0000-00009F6D0000}"/>
    <cellStyle name="Normal 358 3 2 2" xfId="28064" xr:uid="{00000000-0005-0000-0000-0000A06D0000}"/>
    <cellStyle name="Normal 358 3 2 2 2" xfId="28065" xr:uid="{00000000-0005-0000-0000-0000A16D0000}"/>
    <cellStyle name="Normal 358 3 2 3" xfId="28066" xr:uid="{00000000-0005-0000-0000-0000A26D0000}"/>
    <cellStyle name="Normal 358 3 2 3 2" xfId="28067" xr:uid="{00000000-0005-0000-0000-0000A36D0000}"/>
    <cellStyle name="Normal 358 3 2 3 2 2" xfId="28068" xr:uid="{00000000-0005-0000-0000-0000A46D0000}"/>
    <cellStyle name="Normal 358 3 2 3 3" xfId="28069" xr:uid="{00000000-0005-0000-0000-0000A56D0000}"/>
    <cellStyle name="Normal 358 3 2 4" xfId="28070" xr:uid="{00000000-0005-0000-0000-0000A66D0000}"/>
    <cellStyle name="Normal 358 3 3" xfId="28071" xr:uid="{00000000-0005-0000-0000-0000A76D0000}"/>
    <cellStyle name="Normal 358 3 3 2" xfId="28072" xr:uid="{00000000-0005-0000-0000-0000A86D0000}"/>
    <cellStyle name="Normal 358 3 3 2 2" xfId="28073" xr:uid="{00000000-0005-0000-0000-0000A96D0000}"/>
    <cellStyle name="Normal 358 3 3 3" xfId="28074" xr:uid="{00000000-0005-0000-0000-0000AA6D0000}"/>
    <cellStyle name="Normal 358 3 4" xfId="28075" xr:uid="{00000000-0005-0000-0000-0000AB6D0000}"/>
    <cellStyle name="Normal 358 3 4 2" xfId="28076" xr:uid="{00000000-0005-0000-0000-0000AC6D0000}"/>
    <cellStyle name="Normal 358 3 4 2 2" xfId="28077" xr:uid="{00000000-0005-0000-0000-0000AD6D0000}"/>
    <cellStyle name="Normal 358 3 4 3" xfId="28078" xr:uid="{00000000-0005-0000-0000-0000AE6D0000}"/>
    <cellStyle name="Normal 358 3 5" xfId="28079" xr:uid="{00000000-0005-0000-0000-0000AF6D0000}"/>
    <cellStyle name="Normal 358 3 5 2" xfId="28080" xr:uid="{00000000-0005-0000-0000-0000B06D0000}"/>
    <cellStyle name="Normal 358 3 5 2 2" xfId="28081" xr:uid="{00000000-0005-0000-0000-0000B16D0000}"/>
    <cellStyle name="Normal 358 3 5 3" xfId="28082" xr:uid="{00000000-0005-0000-0000-0000B26D0000}"/>
    <cellStyle name="Normal 358 3 6" xfId="28083" xr:uid="{00000000-0005-0000-0000-0000B36D0000}"/>
    <cellStyle name="Normal 358 4" xfId="28084" xr:uid="{00000000-0005-0000-0000-0000B46D0000}"/>
    <cellStyle name="Normal 358 4 2" xfId="28085" xr:uid="{00000000-0005-0000-0000-0000B56D0000}"/>
    <cellStyle name="Normal 358 4 2 2" xfId="28086" xr:uid="{00000000-0005-0000-0000-0000B66D0000}"/>
    <cellStyle name="Normal 358 4 3" xfId="28087" xr:uid="{00000000-0005-0000-0000-0000B76D0000}"/>
    <cellStyle name="Normal 358 5" xfId="28088" xr:uid="{00000000-0005-0000-0000-0000B86D0000}"/>
    <cellStyle name="Normal 358 5 2" xfId="28089" xr:uid="{00000000-0005-0000-0000-0000B96D0000}"/>
    <cellStyle name="Normal 358 5 2 2" xfId="28090" xr:uid="{00000000-0005-0000-0000-0000BA6D0000}"/>
    <cellStyle name="Normal 358 5 3" xfId="28091" xr:uid="{00000000-0005-0000-0000-0000BB6D0000}"/>
    <cellStyle name="Normal 358 6" xfId="28092" xr:uid="{00000000-0005-0000-0000-0000BC6D0000}"/>
    <cellStyle name="Normal 358 6 2" xfId="28093" xr:uid="{00000000-0005-0000-0000-0000BD6D0000}"/>
    <cellStyle name="Normal 358 6 2 2" xfId="28094" xr:uid="{00000000-0005-0000-0000-0000BE6D0000}"/>
    <cellStyle name="Normal 358 6 3" xfId="28095" xr:uid="{00000000-0005-0000-0000-0000BF6D0000}"/>
    <cellStyle name="Normal 358 7" xfId="28096" xr:uid="{00000000-0005-0000-0000-0000C06D0000}"/>
    <cellStyle name="Normal 359" xfId="28097" xr:uid="{00000000-0005-0000-0000-0000C16D0000}"/>
    <cellStyle name="Normal 359 2" xfId="28098" xr:uid="{00000000-0005-0000-0000-0000C26D0000}"/>
    <cellStyle name="Normal 359 2 2" xfId="28099" xr:uid="{00000000-0005-0000-0000-0000C36D0000}"/>
    <cellStyle name="Normal 359 2 2 2" xfId="28100" xr:uid="{00000000-0005-0000-0000-0000C46D0000}"/>
    <cellStyle name="Normal 359 2 3" xfId="28101" xr:uid="{00000000-0005-0000-0000-0000C56D0000}"/>
    <cellStyle name="Normal 359 2 3 2" xfId="28102" xr:uid="{00000000-0005-0000-0000-0000C66D0000}"/>
    <cellStyle name="Normal 359 2 3 2 2" xfId="28103" xr:uid="{00000000-0005-0000-0000-0000C76D0000}"/>
    <cellStyle name="Normal 359 2 3 3" xfId="28104" xr:uid="{00000000-0005-0000-0000-0000C86D0000}"/>
    <cellStyle name="Normal 359 2 4" xfId="28105" xr:uid="{00000000-0005-0000-0000-0000C96D0000}"/>
    <cellStyle name="Normal 359 2 4 2" xfId="28106" xr:uid="{00000000-0005-0000-0000-0000CA6D0000}"/>
    <cellStyle name="Normal 359 2 4 2 2" xfId="28107" xr:uid="{00000000-0005-0000-0000-0000CB6D0000}"/>
    <cellStyle name="Normal 359 2 4 3" xfId="28108" xr:uid="{00000000-0005-0000-0000-0000CC6D0000}"/>
    <cellStyle name="Normal 359 2 5" xfId="28109" xr:uid="{00000000-0005-0000-0000-0000CD6D0000}"/>
    <cellStyle name="Normal 359 3" xfId="28110" xr:uid="{00000000-0005-0000-0000-0000CE6D0000}"/>
    <cellStyle name="Normal 359 3 2" xfId="28111" xr:uid="{00000000-0005-0000-0000-0000CF6D0000}"/>
    <cellStyle name="Normal 359 3 2 2" xfId="28112" xr:uid="{00000000-0005-0000-0000-0000D06D0000}"/>
    <cellStyle name="Normal 359 3 2 2 2" xfId="28113" xr:uid="{00000000-0005-0000-0000-0000D16D0000}"/>
    <cellStyle name="Normal 359 3 2 3" xfId="28114" xr:uid="{00000000-0005-0000-0000-0000D26D0000}"/>
    <cellStyle name="Normal 359 3 2 3 2" xfId="28115" xr:uid="{00000000-0005-0000-0000-0000D36D0000}"/>
    <cellStyle name="Normal 359 3 2 3 2 2" xfId="28116" xr:uid="{00000000-0005-0000-0000-0000D46D0000}"/>
    <cellStyle name="Normal 359 3 2 3 3" xfId="28117" xr:uid="{00000000-0005-0000-0000-0000D56D0000}"/>
    <cellStyle name="Normal 359 3 2 4" xfId="28118" xr:uid="{00000000-0005-0000-0000-0000D66D0000}"/>
    <cellStyle name="Normal 359 3 3" xfId="28119" xr:uid="{00000000-0005-0000-0000-0000D76D0000}"/>
    <cellStyle name="Normal 359 3 3 2" xfId="28120" xr:uid="{00000000-0005-0000-0000-0000D86D0000}"/>
    <cellStyle name="Normal 359 3 3 2 2" xfId="28121" xr:uid="{00000000-0005-0000-0000-0000D96D0000}"/>
    <cellStyle name="Normal 359 3 3 3" xfId="28122" xr:uid="{00000000-0005-0000-0000-0000DA6D0000}"/>
    <cellStyle name="Normal 359 3 4" xfId="28123" xr:uid="{00000000-0005-0000-0000-0000DB6D0000}"/>
    <cellStyle name="Normal 359 3 4 2" xfId="28124" xr:uid="{00000000-0005-0000-0000-0000DC6D0000}"/>
    <cellStyle name="Normal 359 3 4 2 2" xfId="28125" xr:uid="{00000000-0005-0000-0000-0000DD6D0000}"/>
    <cellStyle name="Normal 359 3 4 3" xfId="28126" xr:uid="{00000000-0005-0000-0000-0000DE6D0000}"/>
    <cellStyle name="Normal 359 3 5" xfId="28127" xr:uid="{00000000-0005-0000-0000-0000DF6D0000}"/>
    <cellStyle name="Normal 359 3 5 2" xfId="28128" xr:uid="{00000000-0005-0000-0000-0000E06D0000}"/>
    <cellStyle name="Normal 359 3 5 2 2" xfId="28129" xr:uid="{00000000-0005-0000-0000-0000E16D0000}"/>
    <cellStyle name="Normal 359 3 5 3" xfId="28130" xr:uid="{00000000-0005-0000-0000-0000E26D0000}"/>
    <cellStyle name="Normal 359 3 6" xfId="28131" xr:uid="{00000000-0005-0000-0000-0000E36D0000}"/>
    <cellStyle name="Normal 359 4" xfId="28132" xr:uid="{00000000-0005-0000-0000-0000E46D0000}"/>
    <cellStyle name="Normal 359 4 2" xfId="28133" xr:uid="{00000000-0005-0000-0000-0000E56D0000}"/>
    <cellStyle name="Normal 359 4 2 2" xfId="28134" xr:uid="{00000000-0005-0000-0000-0000E66D0000}"/>
    <cellStyle name="Normal 359 4 3" xfId="28135" xr:uid="{00000000-0005-0000-0000-0000E76D0000}"/>
    <cellStyle name="Normal 359 5" xfId="28136" xr:uid="{00000000-0005-0000-0000-0000E86D0000}"/>
    <cellStyle name="Normal 359 5 2" xfId="28137" xr:uid="{00000000-0005-0000-0000-0000E96D0000}"/>
    <cellStyle name="Normal 359 5 2 2" xfId="28138" xr:uid="{00000000-0005-0000-0000-0000EA6D0000}"/>
    <cellStyle name="Normal 359 5 3" xfId="28139" xr:uid="{00000000-0005-0000-0000-0000EB6D0000}"/>
    <cellStyle name="Normal 359 6" xfId="28140" xr:uid="{00000000-0005-0000-0000-0000EC6D0000}"/>
    <cellStyle name="Normal 359 6 2" xfId="28141" xr:uid="{00000000-0005-0000-0000-0000ED6D0000}"/>
    <cellStyle name="Normal 359 6 2 2" xfId="28142" xr:uid="{00000000-0005-0000-0000-0000EE6D0000}"/>
    <cellStyle name="Normal 359 6 3" xfId="28143" xr:uid="{00000000-0005-0000-0000-0000EF6D0000}"/>
    <cellStyle name="Normal 359 7" xfId="28144" xr:uid="{00000000-0005-0000-0000-0000F06D0000}"/>
    <cellStyle name="Normal 36" xfId="28145" xr:uid="{00000000-0005-0000-0000-0000F16D0000}"/>
    <cellStyle name="Normal 36 2" xfId="28146" xr:uid="{00000000-0005-0000-0000-0000F26D0000}"/>
    <cellStyle name="Normal 36 2 2" xfId="28147" xr:uid="{00000000-0005-0000-0000-0000F36D0000}"/>
    <cellStyle name="Normal 36 2 2 2" xfId="28148" xr:uid="{00000000-0005-0000-0000-0000F46D0000}"/>
    <cellStyle name="Normal 36 2 2 2 2" xfId="28149" xr:uid="{00000000-0005-0000-0000-0000F56D0000}"/>
    <cellStyle name="Normal 36 2 2 3" xfId="28150" xr:uid="{00000000-0005-0000-0000-0000F66D0000}"/>
    <cellStyle name="Normal 36 2 2 3 2" xfId="28151" xr:uid="{00000000-0005-0000-0000-0000F76D0000}"/>
    <cellStyle name="Normal 36 2 2 3 2 2" xfId="28152" xr:uid="{00000000-0005-0000-0000-0000F86D0000}"/>
    <cellStyle name="Normal 36 2 2 3 3" xfId="28153" xr:uid="{00000000-0005-0000-0000-0000F96D0000}"/>
    <cellStyle name="Normal 36 2 2 4" xfId="28154" xr:uid="{00000000-0005-0000-0000-0000FA6D0000}"/>
    <cellStyle name="Normal 36 2 2 4 2" xfId="28155" xr:uid="{00000000-0005-0000-0000-0000FB6D0000}"/>
    <cellStyle name="Normal 36 2 2 4 2 2" xfId="28156" xr:uid="{00000000-0005-0000-0000-0000FC6D0000}"/>
    <cellStyle name="Normal 36 2 2 4 3" xfId="28157" xr:uid="{00000000-0005-0000-0000-0000FD6D0000}"/>
    <cellStyle name="Normal 36 2 2 5" xfId="28158" xr:uid="{00000000-0005-0000-0000-0000FE6D0000}"/>
    <cellStyle name="Normal 36 2 3" xfId="28159" xr:uid="{00000000-0005-0000-0000-0000FF6D0000}"/>
    <cellStyle name="Normal 36 2 3 2" xfId="28160" xr:uid="{00000000-0005-0000-0000-0000006E0000}"/>
    <cellStyle name="Normal 36 2 3 2 2" xfId="28161" xr:uid="{00000000-0005-0000-0000-0000016E0000}"/>
    <cellStyle name="Normal 36 2 3 3" xfId="28162" xr:uid="{00000000-0005-0000-0000-0000026E0000}"/>
    <cellStyle name="Normal 36 2 4" xfId="28163" xr:uid="{00000000-0005-0000-0000-0000036E0000}"/>
    <cellStyle name="Normal 36 2 4 2" xfId="28164" xr:uid="{00000000-0005-0000-0000-0000046E0000}"/>
    <cellStyle name="Normal 36 2 4 2 2" xfId="28165" xr:uid="{00000000-0005-0000-0000-0000056E0000}"/>
    <cellStyle name="Normal 36 2 4 3" xfId="28166" xr:uid="{00000000-0005-0000-0000-0000066E0000}"/>
    <cellStyle name="Normal 36 2 5" xfId="28167" xr:uid="{00000000-0005-0000-0000-0000076E0000}"/>
    <cellStyle name="Normal 36 2 5 2" xfId="28168" xr:uid="{00000000-0005-0000-0000-0000086E0000}"/>
    <cellStyle name="Normal 36 2 5 2 2" xfId="28169" xr:uid="{00000000-0005-0000-0000-0000096E0000}"/>
    <cellStyle name="Normal 36 2 5 3" xfId="28170" xr:uid="{00000000-0005-0000-0000-00000A6E0000}"/>
    <cellStyle name="Normal 36 2 6" xfId="28171" xr:uid="{00000000-0005-0000-0000-00000B6E0000}"/>
    <cellStyle name="Normal 36 3" xfId="28172" xr:uid="{00000000-0005-0000-0000-00000C6E0000}"/>
    <cellStyle name="Normal 36 3 2" xfId="28173" xr:uid="{00000000-0005-0000-0000-00000D6E0000}"/>
    <cellStyle name="Normal 36 3 2 2" xfId="28174" xr:uid="{00000000-0005-0000-0000-00000E6E0000}"/>
    <cellStyle name="Normal 36 3 3" xfId="28175" xr:uid="{00000000-0005-0000-0000-00000F6E0000}"/>
    <cellStyle name="Normal 36 3 3 2" xfId="28176" xr:uid="{00000000-0005-0000-0000-0000106E0000}"/>
    <cellStyle name="Normal 36 3 3 2 2" xfId="28177" xr:uid="{00000000-0005-0000-0000-0000116E0000}"/>
    <cellStyle name="Normal 36 3 3 3" xfId="28178" xr:uid="{00000000-0005-0000-0000-0000126E0000}"/>
    <cellStyle name="Normal 36 3 4" xfId="28179" xr:uid="{00000000-0005-0000-0000-0000136E0000}"/>
    <cellStyle name="Normal 36 3 4 2" xfId="28180" xr:uid="{00000000-0005-0000-0000-0000146E0000}"/>
    <cellStyle name="Normal 36 3 4 2 2" xfId="28181" xr:uid="{00000000-0005-0000-0000-0000156E0000}"/>
    <cellStyle name="Normal 36 3 4 3" xfId="28182" xr:uid="{00000000-0005-0000-0000-0000166E0000}"/>
    <cellStyle name="Normal 36 3 5" xfId="28183" xr:uid="{00000000-0005-0000-0000-0000176E0000}"/>
    <cellStyle name="Normal 36 4" xfId="28184" xr:uid="{00000000-0005-0000-0000-0000186E0000}"/>
    <cellStyle name="Normal 36 4 2" xfId="28185" xr:uid="{00000000-0005-0000-0000-0000196E0000}"/>
    <cellStyle name="Normal 36 4 2 2" xfId="28186" xr:uid="{00000000-0005-0000-0000-00001A6E0000}"/>
    <cellStyle name="Normal 36 4 3" xfId="28187" xr:uid="{00000000-0005-0000-0000-00001B6E0000}"/>
    <cellStyle name="Normal 36 5" xfId="28188" xr:uid="{00000000-0005-0000-0000-00001C6E0000}"/>
    <cellStyle name="Normal 36 5 2" xfId="28189" xr:uid="{00000000-0005-0000-0000-00001D6E0000}"/>
    <cellStyle name="Normal 36 5 2 2" xfId="28190" xr:uid="{00000000-0005-0000-0000-00001E6E0000}"/>
    <cellStyle name="Normal 36 5 3" xfId="28191" xr:uid="{00000000-0005-0000-0000-00001F6E0000}"/>
    <cellStyle name="Normal 36 6" xfId="28192" xr:uid="{00000000-0005-0000-0000-0000206E0000}"/>
    <cellStyle name="Normal 36 6 2" xfId="28193" xr:uid="{00000000-0005-0000-0000-0000216E0000}"/>
    <cellStyle name="Normal 36 6 2 2" xfId="28194" xr:uid="{00000000-0005-0000-0000-0000226E0000}"/>
    <cellStyle name="Normal 36 6 3" xfId="28195" xr:uid="{00000000-0005-0000-0000-0000236E0000}"/>
    <cellStyle name="Normal 36 7" xfId="28196" xr:uid="{00000000-0005-0000-0000-0000246E0000}"/>
    <cellStyle name="Normal 360" xfId="28197" xr:uid="{00000000-0005-0000-0000-0000256E0000}"/>
    <cellStyle name="Normal 360 2" xfId="28198" xr:uid="{00000000-0005-0000-0000-0000266E0000}"/>
    <cellStyle name="Normal 360 2 2" xfId="28199" xr:uid="{00000000-0005-0000-0000-0000276E0000}"/>
    <cellStyle name="Normal 360 2 2 2" xfId="28200" xr:uid="{00000000-0005-0000-0000-0000286E0000}"/>
    <cellStyle name="Normal 360 2 3" xfId="28201" xr:uid="{00000000-0005-0000-0000-0000296E0000}"/>
    <cellStyle name="Normal 360 2 3 2" xfId="28202" xr:uid="{00000000-0005-0000-0000-00002A6E0000}"/>
    <cellStyle name="Normal 360 2 3 2 2" xfId="28203" xr:uid="{00000000-0005-0000-0000-00002B6E0000}"/>
    <cellStyle name="Normal 360 2 3 3" xfId="28204" xr:uid="{00000000-0005-0000-0000-00002C6E0000}"/>
    <cellStyle name="Normal 360 2 4" xfId="28205" xr:uid="{00000000-0005-0000-0000-00002D6E0000}"/>
    <cellStyle name="Normal 360 2 4 2" xfId="28206" xr:uid="{00000000-0005-0000-0000-00002E6E0000}"/>
    <cellStyle name="Normal 360 2 4 2 2" xfId="28207" xr:uid="{00000000-0005-0000-0000-00002F6E0000}"/>
    <cellStyle name="Normal 360 2 4 3" xfId="28208" xr:uid="{00000000-0005-0000-0000-0000306E0000}"/>
    <cellStyle name="Normal 360 2 5" xfId="28209" xr:uid="{00000000-0005-0000-0000-0000316E0000}"/>
    <cellStyle name="Normal 360 3" xfId="28210" xr:uid="{00000000-0005-0000-0000-0000326E0000}"/>
    <cellStyle name="Normal 360 3 2" xfId="28211" xr:uid="{00000000-0005-0000-0000-0000336E0000}"/>
    <cellStyle name="Normal 360 3 2 2" xfId="28212" xr:uid="{00000000-0005-0000-0000-0000346E0000}"/>
    <cellStyle name="Normal 360 3 2 2 2" xfId="28213" xr:uid="{00000000-0005-0000-0000-0000356E0000}"/>
    <cellStyle name="Normal 360 3 2 3" xfId="28214" xr:uid="{00000000-0005-0000-0000-0000366E0000}"/>
    <cellStyle name="Normal 360 3 2 3 2" xfId="28215" xr:uid="{00000000-0005-0000-0000-0000376E0000}"/>
    <cellStyle name="Normal 360 3 2 3 2 2" xfId="28216" xr:uid="{00000000-0005-0000-0000-0000386E0000}"/>
    <cellStyle name="Normal 360 3 2 3 3" xfId="28217" xr:uid="{00000000-0005-0000-0000-0000396E0000}"/>
    <cellStyle name="Normal 360 3 2 4" xfId="28218" xr:uid="{00000000-0005-0000-0000-00003A6E0000}"/>
    <cellStyle name="Normal 360 3 3" xfId="28219" xr:uid="{00000000-0005-0000-0000-00003B6E0000}"/>
    <cellStyle name="Normal 360 3 3 2" xfId="28220" xr:uid="{00000000-0005-0000-0000-00003C6E0000}"/>
    <cellStyle name="Normal 360 3 3 2 2" xfId="28221" xr:uid="{00000000-0005-0000-0000-00003D6E0000}"/>
    <cellStyle name="Normal 360 3 3 3" xfId="28222" xr:uid="{00000000-0005-0000-0000-00003E6E0000}"/>
    <cellStyle name="Normal 360 3 4" xfId="28223" xr:uid="{00000000-0005-0000-0000-00003F6E0000}"/>
    <cellStyle name="Normal 360 3 4 2" xfId="28224" xr:uid="{00000000-0005-0000-0000-0000406E0000}"/>
    <cellStyle name="Normal 360 3 4 2 2" xfId="28225" xr:uid="{00000000-0005-0000-0000-0000416E0000}"/>
    <cellStyle name="Normal 360 3 4 3" xfId="28226" xr:uid="{00000000-0005-0000-0000-0000426E0000}"/>
    <cellStyle name="Normal 360 3 5" xfId="28227" xr:uid="{00000000-0005-0000-0000-0000436E0000}"/>
    <cellStyle name="Normal 360 3 5 2" xfId="28228" xr:uid="{00000000-0005-0000-0000-0000446E0000}"/>
    <cellStyle name="Normal 360 3 5 2 2" xfId="28229" xr:uid="{00000000-0005-0000-0000-0000456E0000}"/>
    <cellStyle name="Normal 360 3 5 3" xfId="28230" xr:uid="{00000000-0005-0000-0000-0000466E0000}"/>
    <cellStyle name="Normal 360 3 6" xfId="28231" xr:uid="{00000000-0005-0000-0000-0000476E0000}"/>
    <cellStyle name="Normal 360 4" xfId="28232" xr:uid="{00000000-0005-0000-0000-0000486E0000}"/>
    <cellStyle name="Normal 360 4 2" xfId="28233" xr:uid="{00000000-0005-0000-0000-0000496E0000}"/>
    <cellStyle name="Normal 360 4 2 2" xfId="28234" xr:uid="{00000000-0005-0000-0000-00004A6E0000}"/>
    <cellStyle name="Normal 360 4 3" xfId="28235" xr:uid="{00000000-0005-0000-0000-00004B6E0000}"/>
    <cellStyle name="Normal 360 5" xfId="28236" xr:uid="{00000000-0005-0000-0000-00004C6E0000}"/>
    <cellStyle name="Normal 360 5 2" xfId="28237" xr:uid="{00000000-0005-0000-0000-00004D6E0000}"/>
    <cellStyle name="Normal 360 5 2 2" xfId="28238" xr:uid="{00000000-0005-0000-0000-00004E6E0000}"/>
    <cellStyle name="Normal 360 5 3" xfId="28239" xr:uid="{00000000-0005-0000-0000-00004F6E0000}"/>
    <cellStyle name="Normal 360 6" xfId="28240" xr:uid="{00000000-0005-0000-0000-0000506E0000}"/>
    <cellStyle name="Normal 360 6 2" xfId="28241" xr:uid="{00000000-0005-0000-0000-0000516E0000}"/>
    <cellStyle name="Normal 360 6 2 2" xfId="28242" xr:uid="{00000000-0005-0000-0000-0000526E0000}"/>
    <cellStyle name="Normal 360 6 3" xfId="28243" xr:uid="{00000000-0005-0000-0000-0000536E0000}"/>
    <cellStyle name="Normal 360 7" xfId="28244" xr:uid="{00000000-0005-0000-0000-0000546E0000}"/>
    <cellStyle name="Normal 361" xfId="28245" xr:uid="{00000000-0005-0000-0000-0000556E0000}"/>
    <cellStyle name="Normal 361 2" xfId="28246" xr:uid="{00000000-0005-0000-0000-0000566E0000}"/>
    <cellStyle name="Normal 361 2 2" xfId="28247" xr:uid="{00000000-0005-0000-0000-0000576E0000}"/>
    <cellStyle name="Normal 361 2 2 2" xfId="28248" xr:uid="{00000000-0005-0000-0000-0000586E0000}"/>
    <cellStyle name="Normal 361 2 3" xfId="28249" xr:uid="{00000000-0005-0000-0000-0000596E0000}"/>
    <cellStyle name="Normal 361 2 3 2" xfId="28250" xr:uid="{00000000-0005-0000-0000-00005A6E0000}"/>
    <cellStyle name="Normal 361 2 3 2 2" xfId="28251" xr:uid="{00000000-0005-0000-0000-00005B6E0000}"/>
    <cellStyle name="Normal 361 2 3 3" xfId="28252" xr:uid="{00000000-0005-0000-0000-00005C6E0000}"/>
    <cellStyle name="Normal 361 2 4" xfId="28253" xr:uid="{00000000-0005-0000-0000-00005D6E0000}"/>
    <cellStyle name="Normal 361 2 4 2" xfId="28254" xr:uid="{00000000-0005-0000-0000-00005E6E0000}"/>
    <cellStyle name="Normal 361 2 4 2 2" xfId="28255" xr:uid="{00000000-0005-0000-0000-00005F6E0000}"/>
    <cellStyle name="Normal 361 2 4 3" xfId="28256" xr:uid="{00000000-0005-0000-0000-0000606E0000}"/>
    <cellStyle name="Normal 361 2 5" xfId="28257" xr:uid="{00000000-0005-0000-0000-0000616E0000}"/>
    <cellStyle name="Normal 361 3" xfId="28258" xr:uid="{00000000-0005-0000-0000-0000626E0000}"/>
    <cellStyle name="Normal 361 3 2" xfId="28259" xr:uid="{00000000-0005-0000-0000-0000636E0000}"/>
    <cellStyle name="Normal 361 3 2 2" xfId="28260" xr:uid="{00000000-0005-0000-0000-0000646E0000}"/>
    <cellStyle name="Normal 361 3 2 2 2" xfId="28261" xr:uid="{00000000-0005-0000-0000-0000656E0000}"/>
    <cellStyle name="Normal 361 3 2 3" xfId="28262" xr:uid="{00000000-0005-0000-0000-0000666E0000}"/>
    <cellStyle name="Normal 361 3 2 3 2" xfId="28263" xr:uid="{00000000-0005-0000-0000-0000676E0000}"/>
    <cellStyle name="Normal 361 3 2 3 2 2" xfId="28264" xr:uid="{00000000-0005-0000-0000-0000686E0000}"/>
    <cellStyle name="Normal 361 3 2 3 3" xfId="28265" xr:uid="{00000000-0005-0000-0000-0000696E0000}"/>
    <cellStyle name="Normal 361 3 2 4" xfId="28266" xr:uid="{00000000-0005-0000-0000-00006A6E0000}"/>
    <cellStyle name="Normal 361 3 3" xfId="28267" xr:uid="{00000000-0005-0000-0000-00006B6E0000}"/>
    <cellStyle name="Normal 361 3 3 2" xfId="28268" xr:uid="{00000000-0005-0000-0000-00006C6E0000}"/>
    <cellStyle name="Normal 361 3 3 2 2" xfId="28269" xr:uid="{00000000-0005-0000-0000-00006D6E0000}"/>
    <cellStyle name="Normal 361 3 3 3" xfId="28270" xr:uid="{00000000-0005-0000-0000-00006E6E0000}"/>
    <cellStyle name="Normal 361 3 4" xfId="28271" xr:uid="{00000000-0005-0000-0000-00006F6E0000}"/>
    <cellStyle name="Normal 361 3 4 2" xfId="28272" xr:uid="{00000000-0005-0000-0000-0000706E0000}"/>
    <cellStyle name="Normal 361 3 4 2 2" xfId="28273" xr:uid="{00000000-0005-0000-0000-0000716E0000}"/>
    <cellStyle name="Normal 361 3 4 3" xfId="28274" xr:uid="{00000000-0005-0000-0000-0000726E0000}"/>
    <cellStyle name="Normal 361 3 5" xfId="28275" xr:uid="{00000000-0005-0000-0000-0000736E0000}"/>
    <cellStyle name="Normal 361 3 5 2" xfId="28276" xr:uid="{00000000-0005-0000-0000-0000746E0000}"/>
    <cellStyle name="Normal 361 3 5 2 2" xfId="28277" xr:uid="{00000000-0005-0000-0000-0000756E0000}"/>
    <cellStyle name="Normal 361 3 5 3" xfId="28278" xr:uid="{00000000-0005-0000-0000-0000766E0000}"/>
    <cellStyle name="Normal 361 3 6" xfId="28279" xr:uid="{00000000-0005-0000-0000-0000776E0000}"/>
    <cellStyle name="Normal 361 4" xfId="28280" xr:uid="{00000000-0005-0000-0000-0000786E0000}"/>
    <cellStyle name="Normal 361 4 2" xfId="28281" xr:uid="{00000000-0005-0000-0000-0000796E0000}"/>
    <cellStyle name="Normal 361 4 2 2" xfId="28282" xr:uid="{00000000-0005-0000-0000-00007A6E0000}"/>
    <cellStyle name="Normal 361 4 3" xfId="28283" xr:uid="{00000000-0005-0000-0000-00007B6E0000}"/>
    <cellStyle name="Normal 361 5" xfId="28284" xr:uid="{00000000-0005-0000-0000-00007C6E0000}"/>
    <cellStyle name="Normal 361 5 2" xfId="28285" xr:uid="{00000000-0005-0000-0000-00007D6E0000}"/>
    <cellStyle name="Normal 361 5 2 2" xfId="28286" xr:uid="{00000000-0005-0000-0000-00007E6E0000}"/>
    <cellStyle name="Normal 361 5 3" xfId="28287" xr:uid="{00000000-0005-0000-0000-00007F6E0000}"/>
    <cellStyle name="Normal 361 6" xfId="28288" xr:uid="{00000000-0005-0000-0000-0000806E0000}"/>
    <cellStyle name="Normal 361 6 2" xfId="28289" xr:uid="{00000000-0005-0000-0000-0000816E0000}"/>
    <cellStyle name="Normal 361 6 2 2" xfId="28290" xr:uid="{00000000-0005-0000-0000-0000826E0000}"/>
    <cellStyle name="Normal 361 6 3" xfId="28291" xr:uid="{00000000-0005-0000-0000-0000836E0000}"/>
    <cellStyle name="Normal 361 7" xfId="28292" xr:uid="{00000000-0005-0000-0000-0000846E0000}"/>
    <cellStyle name="Normal 362" xfId="28293" xr:uid="{00000000-0005-0000-0000-0000856E0000}"/>
    <cellStyle name="Normal 362 2" xfId="28294" xr:uid="{00000000-0005-0000-0000-0000866E0000}"/>
    <cellStyle name="Normal 362 2 2" xfId="28295" xr:uid="{00000000-0005-0000-0000-0000876E0000}"/>
    <cellStyle name="Normal 362 2 2 2" xfId="28296" xr:uid="{00000000-0005-0000-0000-0000886E0000}"/>
    <cellStyle name="Normal 362 2 3" xfId="28297" xr:uid="{00000000-0005-0000-0000-0000896E0000}"/>
    <cellStyle name="Normal 362 2 3 2" xfId="28298" xr:uid="{00000000-0005-0000-0000-00008A6E0000}"/>
    <cellStyle name="Normal 362 2 3 2 2" xfId="28299" xr:uid="{00000000-0005-0000-0000-00008B6E0000}"/>
    <cellStyle name="Normal 362 2 3 3" xfId="28300" xr:uid="{00000000-0005-0000-0000-00008C6E0000}"/>
    <cellStyle name="Normal 362 2 4" xfId="28301" xr:uid="{00000000-0005-0000-0000-00008D6E0000}"/>
    <cellStyle name="Normal 362 2 4 2" xfId="28302" xr:uid="{00000000-0005-0000-0000-00008E6E0000}"/>
    <cellStyle name="Normal 362 2 4 2 2" xfId="28303" xr:uid="{00000000-0005-0000-0000-00008F6E0000}"/>
    <cellStyle name="Normal 362 2 4 3" xfId="28304" xr:uid="{00000000-0005-0000-0000-0000906E0000}"/>
    <cellStyle name="Normal 362 2 5" xfId="28305" xr:uid="{00000000-0005-0000-0000-0000916E0000}"/>
    <cellStyle name="Normal 362 3" xfId="28306" xr:uid="{00000000-0005-0000-0000-0000926E0000}"/>
    <cellStyle name="Normal 362 3 2" xfId="28307" xr:uid="{00000000-0005-0000-0000-0000936E0000}"/>
    <cellStyle name="Normal 362 3 2 2" xfId="28308" xr:uid="{00000000-0005-0000-0000-0000946E0000}"/>
    <cellStyle name="Normal 362 3 2 2 2" xfId="28309" xr:uid="{00000000-0005-0000-0000-0000956E0000}"/>
    <cellStyle name="Normal 362 3 2 3" xfId="28310" xr:uid="{00000000-0005-0000-0000-0000966E0000}"/>
    <cellStyle name="Normal 362 3 2 3 2" xfId="28311" xr:uid="{00000000-0005-0000-0000-0000976E0000}"/>
    <cellStyle name="Normal 362 3 2 3 2 2" xfId="28312" xr:uid="{00000000-0005-0000-0000-0000986E0000}"/>
    <cellStyle name="Normal 362 3 2 3 3" xfId="28313" xr:uid="{00000000-0005-0000-0000-0000996E0000}"/>
    <cellStyle name="Normal 362 3 2 4" xfId="28314" xr:uid="{00000000-0005-0000-0000-00009A6E0000}"/>
    <cellStyle name="Normal 362 3 3" xfId="28315" xr:uid="{00000000-0005-0000-0000-00009B6E0000}"/>
    <cellStyle name="Normal 362 3 3 2" xfId="28316" xr:uid="{00000000-0005-0000-0000-00009C6E0000}"/>
    <cellStyle name="Normal 362 3 3 2 2" xfId="28317" xr:uid="{00000000-0005-0000-0000-00009D6E0000}"/>
    <cellStyle name="Normal 362 3 3 3" xfId="28318" xr:uid="{00000000-0005-0000-0000-00009E6E0000}"/>
    <cellStyle name="Normal 362 3 4" xfId="28319" xr:uid="{00000000-0005-0000-0000-00009F6E0000}"/>
    <cellStyle name="Normal 362 3 4 2" xfId="28320" xr:uid="{00000000-0005-0000-0000-0000A06E0000}"/>
    <cellStyle name="Normal 362 3 4 2 2" xfId="28321" xr:uid="{00000000-0005-0000-0000-0000A16E0000}"/>
    <cellStyle name="Normal 362 3 4 3" xfId="28322" xr:uid="{00000000-0005-0000-0000-0000A26E0000}"/>
    <cellStyle name="Normal 362 3 5" xfId="28323" xr:uid="{00000000-0005-0000-0000-0000A36E0000}"/>
    <cellStyle name="Normal 362 3 5 2" xfId="28324" xr:uid="{00000000-0005-0000-0000-0000A46E0000}"/>
    <cellStyle name="Normal 362 3 5 2 2" xfId="28325" xr:uid="{00000000-0005-0000-0000-0000A56E0000}"/>
    <cellStyle name="Normal 362 3 5 3" xfId="28326" xr:uid="{00000000-0005-0000-0000-0000A66E0000}"/>
    <cellStyle name="Normal 362 3 6" xfId="28327" xr:uid="{00000000-0005-0000-0000-0000A76E0000}"/>
    <cellStyle name="Normal 362 4" xfId="28328" xr:uid="{00000000-0005-0000-0000-0000A86E0000}"/>
    <cellStyle name="Normal 362 4 2" xfId="28329" xr:uid="{00000000-0005-0000-0000-0000A96E0000}"/>
    <cellStyle name="Normal 362 4 2 2" xfId="28330" xr:uid="{00000000-0005-0000-0000-0000AA6E0000}"/>
    <cellStyle name="Normal 362 4 3" xfId="28331" xr:uid="{00000000-0005-0000-0000-0000AB6E0000}"/>
    <cellStyle name="Normal 362 5" xfId="28332" xr:uid="{00000000-0005-0000-0000-0000AC6E0000}"/>
    <cellStyle name="Normal 362 5 2" xfId="28333" xr:uid="{00000000-0005-0000-0000-0000AD6E0000}"/>
    <cellStyle name="Normal 362 5 2 2" xfId="28334" xr:uid="{00000000-0005-0000-0000-0000AE6E0000}"/>
    <cellStyle name="Normal 362 5 3" xfId="28335" xr:uid="{00000000-0005-0000-0000-0000AF6E0000}"/>
    <cellStyle name="Normal 362 6" xfId="28336" xr:uid="{00000000-0005-0000-0000-0000B06E0000}"/>
    <cellStyle name="Normal 362 6 2" xfId="28337" xr:uid="{00000000-0005-0000-0000-0000B16E0000}"/>
    <cellStyle name="Normal 362 6 2 2" xfId="28338" xr:uid="{00000000-0005-0000-0000-0000B26E0000}"/>
    <cellStyle name="Normal 362 6 3" xfId="28339" xr:uid="{00000000-0005-0000-0000-0000B36E0000}"/>
    <cellStyle name="Normal 362 7" xfId="28340" xr:uid="{00000000-0005-0000-0000-0000B46E0000}"/>
    <cellStyle name="Normal 363" xfId="28341" xr:uid="{00000000-0005-0000-0000-0000B56E0000}"/>
    <cellStyle name="Normal 363 2" xfId="28342" xr:uid="{00000000-0005-0000-0000-0000B66E0000}"/>
    <cellStyle name="Normal 363 2 2" xfId="28343" xr:uid="{00000000-0005-0000-0000-0000B76E0000}"/>
    <cellStyle name="Normal 363 2 2 2" xfId="28344" xr:uid="{00000000-0005-0000-0000-0000B86E0000}"/>
    <cellStyle name="Normal 363 2 3" xfId="28345" xr:uid="{00000000-0005-0000-0000-0000B96E0000}"/>
    <cellStyle name="Normal 363 2 3 2" xfId="28346" xr:uid="{00000000-0005-0000-0000-0000BA6E0000}"/>
    <cellStyle name="Normal 363 2 3 2 2" xfId="28347" xr:uid="{00000000-0005-0000-0000-0000BB6E0000}"/>
    <cellStyle name="Normal 363 2 3 3" xfId="28348" xr:uid="{00000000-0005-0000-0000-0000BC6E0000}"/>
    <cellStyle name="Normal 363 2 4" xfId="28349" xr:uid="{00000000-0005-0000-0000-0000BD6E0000}"/>
    <cellStyle name="Normal 363 2 4 2" xfId="28350" xr:uid="{00000000-0005-0000-0000-0000BE6E0000}"/>
    <cellStyle name="Normal 363 2 4 2 2" xfId="28351" xr:uid="{00000000-0005-0000-0000-0000BF6E0000}"/>
    <cellStyle name="Normal 363 2 4 3" xfId="28352" xr:uid="{00000000-0005-0000-0000-0000C06E0000}"/>
    <cellStyle name="Normal 363 2 5" xfId="28353" xr:uid="{00000000-0005-0000-0000-0000C16E0000}"/>
    <cellStyle name="Normal 363 3" xfId="28354" xr:uid="{00000000-0005-0000-0000-0000C26E0000}"/>
    <cellStyle name="Normal 363 3 2" xfId="28355" xr:uid="{00000000-0005-0000-0000-0000C36E0000}"/>
    <cellStyle name="Normal 363 3 2 2" xfId="28356" xr:uid="{00000000-0005-0000-0000-0000C46E0000}"/>
    <cellStyle name="Normal 363 3 2 2 2" xfId="28357" xr:uid="{00000000-0005-0000-0000-0000C56E0000}"/>
    <cellStyle name="Normal 363 3 2 3" xfId="28358" xr:uid="{00000000-0005-0000-0000-0000C66E0000}"/>
    <cellStyle name="Normal 363 3 2 3 2" xfId="28359" xr:uid="{00000000-0005-0000-0000-0000C76E0000}"/>
    <cellStyle name="Normal 363 3 2 3 2 2" xfId="28360" xr:uid="{00000000-0005-0000-0000-0000C86E0000}"/>
    <cellStyle name="Normal 363 3 2 3 3" xfId="28361" xr:uid="{00000000-0005-0000-0000-0000C96E0000}"/>
    <cellStyle name="Normal 363 3 2 4" xfId="28362" xr:uid="{00000000-0005-0000-0000-0000CA6E0000}"/>
    <cellStyle name="Normal 363 3 3" xfId="28363" xr:uid="{00000000-0005-0000-0000-0000CB6E0000}"/>
    <cellStyle name="Normal 363 3 3 2" xfId="28364" xr:uid="{00000000-0005-0000-0000-0000CC6E0000}"/>
    <cellStyle name="Normal 363 3 3 2 2" xfId="28365" xr:uid="{00000000-0005-0000-0000-0000CD6E0000}"/>
    <cellStyle name="Normal 363 3 3 3" xfId="28366" xr:uid="{00000000-0005-0000-0000-0000CE6E0000}"/>
    <cellStyle name="Normal 363 3 4" xfId="28367" xr:uid="{00000000-0005-0000-0000-0000CF6E0000}"/>
    <cellStyle name="Normal 363 3 4 2" xfId="28368" xr:uid="{00000000-0005-0000-0000-0000D06E0000}"/>
    <cellStyle name="Normal 363 3 4 2 2" xfId="28369" xr:uid="{00000000-0005-0000-0000-0000D16E0000}"/>
    <cellStyle name="Normal 363 3 4 3" xfId="28370" xr:uid="{00000000-0005-0000-0000-0000D26E0000}"/>
    <cellStyle name="Normal 363 3 5" xfId="28371" xr:uid="{00000000-0005-0000-0000-0000D36E0000}"/>
    <cellStyle name="Normal 363 3 5 2" xfId="28372" xr:uid="{00000000-0005-0000-0000-0000D46E0000}"/>
    <cellStyle name="Normal 363 3 5 2 2" xfId="28373" xr:uid="{00000000-0005-0000-0000-0000D56E0000}"/>
    <cellStyle name="Normal 363 3 5 3" xfId="28374" xr:uid="{00000000-0005-0000-0000-0000D66E0000}"/>
    <cellStyle name="Normal 363 3 6" xfId="28375" xr:uid="{00000000-0005-0000-0000-0000D76E0000}"/>
    <cellStyle name="Normal 363 4" xfId="28376" xr:uid="{00000000-0005-0000-0000-0000D86E0000}"/>
    <cellStyle name="Normal 363 4 2" xfId="28377" xr:uid="{00000000-0005-0000-0000-0000D96E0000}"/>
    <cellStyle name="Normal 363 4 2 2" xfId="28378" xr:uid="{00000000-0005-0000-0000-0000DA6E0000}"/>
    <cellStyle name="Normal 363 4 3" xfId="28379" xr:uid="{00000000-0005-0000-0000-0000DB6E0000}"/>
    <cellStyle name="Normal 363 5" xfId="28380" xr:uid="{00000000-0005-0000-0000-0000DC6E0000}"/>
    <cellStyle name="Normal 363 5 2" xfId="28381" xr:uid="{00000000-0005-0000-0000-0000DD6E0000}"/>
    <cellStyle name="Normal 363 5 2 2" xfId="28382" xr:uid="{00000000-0005-0000-0000-0000DE6E0000}"/>
    <cellStyle name="Normal 363 5 3" xfId="28383" xr:uid="{00000000-0005-0000-0000-0000DF6E0000}"/>
    <cellStyle name="Normal 363 6" xfId="28384" xr:uid="{00000000-0005-0000-0000-0000E06E0000}"/>
    <cellStyle name="Normal 363 6 2" xfId="28385" xr:uid="{00000000-0005-0000-0000-0000E16E0000}"/>
    <cellStyle name="Normal 363 6 2 2" xfId="28386" xr:uid="{00000000-0005-0000-0000-0000E26E0000}"/>
    <cellStyle name="Normal 363 6 3" xfId="28387" xr:uid="{00000000-0005-0000-0000-0000E36E0000}"/>
    <cellStyle name="Normal 363 7" xfId="28388" xr:uid="{00000000-0005-0000-0000-0000E46E0000}"/>
    <cellStyle name="Normal 364" xfId="28389" xr:uid="{00000000-0005-0000-0000-0000E56E0000}"/>
    <cellStyle name="Normal 364 2" xfId="28390" xr:uid="{00000000-0005-0000-0000-0000E66E0000}"/>
    <cellStyle name="Normal 364 2 2" xfId="28391" xr:uid="{00000000-0005-0000-0000-0000E76E0000}"/>
    <cellStyle name="Normal 364 2 2 2" xfId="28392" xr:uid="{00000000-0005-0000-0000-0000E86E0000}"/>
    <cellStyle name="Normal 364 2 3" xfId="28393" xr:uid="{00000000-0005-0000-0000-0000E96E0000}"/>
    <cellStyle name="Normal 364 2 3 2" xfId="28394" xr:uid="{00000000-0005-0000-0000-0000EA6E0000}"/>
    <cellStyle name="Normal 364 2 3 2 2" xfId="28395" xr:uid="{00000000-0005-0000-0000-0000EB6E0000}"/>
    <cellStyle name="Normal 364 2 3 3" xfId="28396" xr:uid="{00000000-0005-0000-0000-0000EC6E0000}"/>
    <cellStyle name="Normal 364 2 4" xfId="28397" xr:uid="{00000000-0005-0000-0000-0000ED6E0000}"/>
    <cellStyle name="Normal 364 2 4 2" xfId="28398" xr:uid="{00000000-0005-0000-0000-0000EE6E0000}"/>
    <cellStyle name="Normal 364 2 4 2 2" xfId="28399" xr:uid="{00000000-0005-0000-0000-0000EF6E0000}"/>
    <cellStyle name="Normal 364 2 4 3" xfId="28400" xr:uid="{00000000-0005-0000-0000-0000F06E0000}"/>
    <cellStyle name="Normal 364 2 5" xfId="28401" xr:uid="{00000000-0005-0000-0000-0000F16E0000}"/>
    <cellStyle name="Normal 364 3" xfId="28402" xr:uid="{00000000-0005-0000-0000-0000F26E0000}"/>
    <cellStyle name="Normal 364 3 2" xfId="28403" xr:uid="{00000000-0005-0000-0000-0000F36E0000}"/>
    <cellStyle name="Normal 364 3 2 2" xfId="28404" xr:uid="{00000000-0005-0000-0000-0000F46E0000}"/>
    <cellStyle name="Normal 364 3 2 2 2" xfId="28405" xr:uid="{00000000-0005-0000-0000-0000F56E0000}"/>
    <cellStyle name="Normal 364 3 2 3" xfId="28406" xr:uid="{00000000-0005-0000-0000-0000F66E0000}"/>
    <cellStyle name="Normal 364 3 2 3 2" xfId="28407" xr:uid="{00000000-0005-0000-0000-0000F76E0000}"/>
    <cellStyle name="Normal 364 3 2 3 2 2" xfId="28408" xr:uid="{00000000-0005-0000-0000-0000F86E0000}"/>
    <cellStyle name="Normal 364 3 2 3 3" xfId="28409" xr:uid="{00000000-0005-0000-0000-0000F96E0000}"/>
    <cellStyle name="Normal 364 3 2 4" xfId="28410" xr:uid="{00000000-0005-0000-0000-0000FA6E0000}"/>
    <cellStyle name="Normal 364 3 3" xfId="28411" xr:uid="{00000000-0005-0000-0000-0000FB6E0000}"/>
    <cellStyle name="Normal 364 3 3 2" xfId="28412" xr:uid="{00000000-0005-0000-0000-0000FC6E0000}"/>
    <cellStyle name="Normal 364 3 3 2 2" xfId="28413" xr:uid="{00000000-0005-0000-0000-0000FD6E0000}"/>
    <cellStyle name="Normal 364 3 3 3" xfId="28414" xr:uid="{00000000-0005-0000-0000-0000FE6E0000}"/>
    <cellStyle name="Normal 364 3 4" xfId="28415" xr:uid="{00000000-0005-0000-0000-0000FF6E0000}"/>
    <cellStyle name="Normal 364 3 4 2" xfId="28416" xr:uid="{00000000-0005-0000-0000-0000006F0000}"/>
    <cellStyle name="Normal 364 3 4 2 2" xfId="28417" xr:uid="{00000000-0005-0000-0000-0000016F0000}"/>
    <cellStyle name="Normal 364 3 4 3" xfId="28418" xr:uid="{00000000-0005-0000-0000-0000026F0000}"/>
    <cellStyle name="Normal 364 3 5" xfId="28419" xr:uid="{00000000-0005-0000-0000-0000036F0000}"/>
    <cellStyle name="Normal 364 3 5 2" xfId="28420" xr:uid="{00000000-0005-0000-0000-0000046F0000}"/>
    <cellStyle name="Normal 364 3 5 2 2" xfId="28421" xr:uid="{00000000-0005-0000-0000-0000056F0000}"/>
    <cellStyle name="Normal 364 3 5 3" xfId="28422" xr:uid="{00000000-0005-0000-0000-0000066F0000}"/>
    <cellStyle name="Normal 364 3 6" xfId="28423" xr:uid="{00000000-0005-0000-0000-0000076F0000}"/>
    <cellStyle name="Normal 364 4" xfId="28424" xr:uid="{00000000-0005-0000-0000-0000086F0000}"/>
    <cellStyle name="Normal 364 4 2" xfId="28425" xr:uid="{00000000-0005-0000-0000-0000096F0000}"/>
    <cellStyle name="Normal 364 4 2 2" xfId="28426" xr:uid="{00000000-0005-0000-0000-00000A6F0000}"/>
    <cellStyle name="Normal 364 4 3" xfId="28427" xr:uid="{00000000-0005-0000-0000-00000B6F0000}"/>
    <cellStyle name="Normal 364 5" xfId="28428" xr:uid="{00000000-0005-0000-0000-00000C6F0000}"/>
    <cellStyle name="Normal 364 5 2" xfId="28429" xr:uid="{00000000-0005-0000-0000-00000D6F0000}"/>
    <cellStyle name="Normal 364 5 2 2" xfId="28430" xr:uid="{00000000-0005-0000-0000-00000E6F0000}"/>
    <cellStyle name="Normal 364 5 3" xfId="28431" xr:uid="{00000000-0005-0000-0000-00000F6F0000}"/>
    <cellStyle name="Normal 364 6" xfId="28432" xr:uid="{00000000-0005-0000-0000-0000106F0000}"/>
    <cellStyle name="Normal 364 6 2" xfId="28433" xr:uid="{00000000-0005-0000-0000-0000116F0000}"/>
    <cellStyle name="Normal 364 6 2 2" xfId="28434" xr:uid="{00000000-0005-0000-0000-0000126F0000}"/>
    <cellStyle name="Normal 364 6 3" xfId="28435" xr:uid="{00000000-0005-0000-0000-0000136F0000}"/>
    <cellStyle name="Normal 364 7" xfId="28436" xr:uid="{00000000-0005-0000-0000-0000146F0000}"/>
    <cellStyle name="Normal 365" xfId="28437" xr:uid="{00000000-0005-0000-0000-0000156F0000}"/>
    <cellStyle name="Normal 365 2" xfId="28438" xr:uid="{00000000-0005-0000-0000-0000166F0000}"/>
    <cellStyle name="Normal 365 2 2" xfId="28439" xr:uid="{00000000-0005-0000-0000-0000176F0000}"/>
    <cellStyle name="Normal 365 2 2 2" xfId="28440" xr:uid="{00000000-0005-0000-0000-0000186F0000}"/>
    <cellStyle name="Normal 365 2 3" xfId="28441" xr:uid="{00000000-0005-0000-0000-0000196F0000}"/>
    <cellStyle name="Normal 365 2 3 2" xfId="28442" xr:uid="{00000000-0005-0000-0000-00001A6F0000}"/>
    <cellStyle name="Normal 365 2 3 2 2" xfId="28443" xr:uid="{00000000-0005-0000-0000-00001B6F0000}"/>
    <cellStyle name="Normal 365 2 3 3" xfId="28444" xr:uid="{00000000-0005-0000-0000-00001C6F0000}"/>
    <cellStyle name="Normal 365 2 4" xfId="28445" xr:uid="{00000000-0005-0000-0000-00001D6F0000}"/>
    <cellStyle name="Normal 365 2 4 2" xfId="28446" xr:uid="{00000000-0005-0000-0000-00001E6F0000}"/>
    <cellStyle name="Normal 365 2 4 2 2" xfId="28447" xr:uid="{00000000-0005-0000-0000-00001F6F0000}"/>
    <cellStyle name="Normal 365 2 4 3" xfId="28448" xr:uid="{00000000-0005-0000-0000-0000206F0000}"/>
    <cellStyle name="Normal 365 2 5" xfId="28449" xr:uid="{00000000-0005-0000-0000-0000216F0000}"/>
    <cellStyle name="Normal 365 3" xfId="28450" xr:uid="{00000000-0005-0000-0000-0000226F0000}"/>
    <cellStyle name="Normal 365 3 2" xfId="28451" xr:uid="{00000000-0005-0000-0000-0000236F0000}"/>
    <cellStyle name="Normal 365 3 2 2" xfId="28452" xr:uid="{00000000-0005-0000-0000-0000246F0000}"/>
    <cellStyle name="Normal 365 3 2 2 2" xfId="28453" xr:uid="{00000000-0005-0000-0000-0000256F0000}"/>
    <cellStyle name="Normal 365 3 2 3" xfId="28454" xr:uid="{00000000-0005-0000-0000-0000266F0000}"/>
    <cellStyle name="Normal 365 3 2 3 2" xfId="28455" xr:uid="{00000000-0005-0000-0000-0000276F0000}"/>
    <cellStyle name="Normal 365 3 2 3 2 2" xfId="28456" xr:uid="{00000000-0005-0000-0000-0000286F0000}"/>
    <cellStyle name="Normal 365 3 2 3 3" xfId="28457" xr:uid="{00000000-0005-0000-0000-0000296F0000}"/>
    <cellStyle name="Normal 365 3 2 4" xfId="28458" xr:uid="{00000000-0005-0000-0000-00002A6F0000}"/>
    <cellStyle name="Normal 365 3 3" xfId="28459" xr:uid="{00000000-0005-0000-0000-00002B6F0000}"/>
    <cellStyle name="Normal 365 3 3 2" xfId="28460" xr:uid="{00000000-0005-0000-0000-00002C6F0000}"/>
    <cellStyle name="Normal 365 3 3 2 2" xfId="28461" xr:uid="{00000000-0005-0000-0000-00002D6F0000}"/>
    <cellStyle name="Normal 365 3 3 3" xfId="28462" xr:uid="{00000000-0005-0000-0000-00002E6F0000}"/>
    <cellStyle name="Normal 365 3 4" xfId="28463" xr:uid="{00000000-0005-0000-0000-00002F6F0000}"/>
    <cellStyle name="Normal 365 3 4 2" xfId="28464" xr:uid="{00000000-0005-0000-0000-0000306F0000}"/>
    <cellStyle name="Normal 365 3 4 2 2" xfId="28465" xr:uid="{00000000-0005-0000-0000-0000316F0000}"/>
    <cellStyle name="Normal 365 3 4 3" xfId="28466" xr:uid="{00000000-0005-0000-0000-0000326F0000}"/>
    <cellStyle name="Normal 365 3 5" xfId="28467" xr:uid="{00000000-0005-0000-0000-0000336F0000}"/>
    <cellStyle name="Normal 365 3 5 2" xfId="28468" xr:uid="{00000000-0005-0000-0000-0000346F0000}"/>
    <cellStyle name="Normal 365 3 5 2 2" xfId="28469" xr:uid="{00000000-0005-0000-0000-0000356F0000}"/>
    <cellStyle name="Normal 365 3 5 3" xfId="28470" xr:uid="{00000000-0005-0000-0000-0000366F0000}"/>
    <cellStyle name="Normal 365 3 6" xfId="28471" xr:uid="{00000000-0005-0000-0000-0000376F0000}"/>
    <cellStyle name="Normal 365 4" xfId="28472" xr:uid="{00000000-0005-0000-0000-0000386F0000}"/>
    <cellStyle name="Normal 365 4 2" xfId="28473" xr:uid="{00000000-0005-0000-0000-0000396F0000}"/>
    <cellStyle name="Normal 365 4 2 2" xfId="28474" xr:uid="{00000000-0005-0000-0000-00003A6F0000}"/>
    <cellStyle name="Normal 365 4 3" xfId="28475" xr:uid="{00000000-0005-0000-0000-00003B6F0000}"/>
    <cellStyle name="Normal 365 5" xfId="28476" xr:uid="{00000000-0005-0000-0000-00003C6F0000}"/>
    <cellStyle name="Normal 365 5 2" xfId="28477" xr:uid="{00000000-0005-0000-0000-00003D6F0000}"/>
    <cellStyle name="Normal 365 5 2 2" xfId="28478" xr:uid="{00000000-0005-0000-0000-00003E6F0000}"/>
    <cellStyle name="Normal 365 5 3" xfId="28479" xr:uid="{00000000-0005-0000-0000-00003F6F0000}"/>
    <cellStyle name="Normal 365 6" xfId="28480" xr:uid="{00000000-0005-0000-0000-0000406F0000}"/>
    <cellStyle name="Normal 365 6 2" xfId="28481" xr:uid="{00000000-0005-0000-0000-0000416F0000}"/>
    <cellStyle name="Normal 365 6 2 2" xfId="28482" xr:uid="{00000000-0005-0000-0000-0000426F0000}"/>
    <cellStyle name="Normal 365 6 3" xfId="28483" xr:uid="{00000000-0005-0000-0000-0000436F0000}"/>
    <cellStyle name="Normal 365 7" xfId="28484" xr:uid="{00000000-0005-0000-0000-0000446F0000}"/>
    <cellStyle name="Normal 366" xfId="28485" xr:uid="{00000000-0005-0000-0000-0000456F0000}"/>
    <cellStyle name="Normal 366 2" xfId="28486" xr:uid="{00000000-0005-0000-0000-0000466F0000}"/>
    <cellStyle name="Normal 366 2 2" xfId="28487" xr:uid="{00000000-0005-0000-0000-0000476F0000}"/>
    <cellStyle name="Normal 366 2 2 2" xfId="28488" xr:uid="{00000000-0005-0000-0000-0000486F0000}"/>
    <cellStyle name="Normal 366 2 3" xfId="28489" xr:uid="{00000000-0005-0000-0000-0000496F0000}"/>
    <cellStyle name="Normal 366 2 3 2" xfId="28490" xr:uid="{00000000-0005-0000-0000-00004A6F0000}"/>
    <cellStyle name="Normal 366 2 3 2 2" xfId="28491" xr:uid="{00000000-0005-0000-0000-00004B6F0000}"/>
    <cellStyle name="Normal 366 2 3 3" xfId="28492" xr:uid="{00000000-0005-0000-0000-00004C6F0000}"/>
    <cellStyle name="Normal 366 2 4" xfId="28493" xr:uid="{00000000-0005-0000-0000-00004D6F0000}"/>
    <cellStyle name="Normal 366 2 4 2" xfId="28494" xr:uid="{00000000-0005-0000-0000-00004E6F0000}"/>
    <cellStyle name="Normal 366 2 4 2 2" xfId="28495" xr:uid="{00000000-0005-0000-0000-00004F6F0000}"/>
    <cellStyle name="Normal 366 2 4 3" xfId="28496" xr:uid="{00000000-0005-0000-0000-0000506F0000}"/>
    <cellStyle name="Normal 366 2 5" xfId="28497" xr:uid="{00000000-0005-0000-0000-0000516F0000}"/>
    <cellStyle name="Normal 366 3" xfId="28498" xr:uid="{00000000-0005-0000-0000-0000526F0000}"/>
    <cellStyle name="Normal 366 3 2" xfId="28499" xr:uid="{00000000-0005-0000-0000-0000536F0000}"/>
    <cellStyle name="Normal 366 3 2 2" xfId="28500" xr:uid="{00000000-0005-0000-0000-0000546F0000}"/>
    <cellStyle name="Normal 366 3 2 2 2" xfId="28501" xr:uid="{00000000-0005-0000-0000-0000556F0000}"/>
    <cellStyle name="Normal 366 3 2 3" xfId="28502" xr:uid="{00000000-0005-0000-0000-0000566F0000}"/>
    <cellStyle name="Normal 366 3 2 3 2" xfId="28503" xr:uid="{00000000-0005-0000-0000-0000576F0000}"/>
    <cellStyle name="Normal 366 3 2 3 2 2" xfId="28504" xr:uid="{00000000-0005-0000-0000-0000586F0000}"/>
    <cellStyle name="Normal 366 3 2 3 3" xfId="28505" xr:uid="{00000000-0005-0000-0000-0000596F0000}"/>
    <cellStyle name="Normal 366 3 2 4" xfId="28506" xr:uid="{00000000-0005-0000-0000-00005A6F0000}"/>
    <cellStyle name="Normal 366 3 3" xfId="28507" xr:uid="{00000000-0005-0000-0000-00005B6F0000}"/>
    <cellStyle name="Normal 366 3 3 2" xfId="28508" xr:uid="{00000000-0005-0000-0000-00005C6F0000}"/>
    <cellStyle name="Normal 366 3 3 2 2" xfId="28509" xr:uid="{00000000-0005-0000-0000-00005D6F0000}"/>
    <cellStyle name="Normal 366 3 3 3" xfId="28510" xr:uid="{00000000-0005-0000-0000-00005E6F0000}"/>
    <cellStyle name="Normal 366 3 4" xfId="28511" xr:uid="{00000000-0005-0000-0000-00005F6F0000}"/>
    <cellStyle name="Normal 366 3 4 2" xfId="28512" xr:uid="{00000000-0005-0000-0000-0000606F0000}"/>
    <cellStyle name="Normal 366 3 4 2 2" xfId="28513" xr:uid="{00000000-0005-0000-0000-0000616F0000}"/>
    <cellStyle name="Normal 366 3 4 3" xfId="28514" xr:uid="{00000000-0005-0000-0000-0000626F0000}"/>
    <cellStyle name="Normal 366 3 5" xfId="28515" xr:uid="{00000000-0005-0000-0000-0000636F0000}"/>
    <cellStyle name="Normal 366 3 5 2" xfId="28516" xr:uid="{00000000-0005-0000-0000-0000646F0000}"/>
    <cellStyle name="Normal 366 3 5 2 2" xfId="28517" xr:uid="{00000000-0005-0000-0000-0000656F0000}"/>
    <cellStyle name="Normal 366 3 5 3" xfId="28518" xr:uid="{00000000-0005-0000-0000-0000666F0000}"/>
    <cellStyle name="Normal 366 3 6" xfId="28519" xr:uid="{00000000-0005-0000-0000-0000676F0000}"/>
    <cellStyle name="Normal 366 4" xfId="28520" xr:uid="{00000000-0005-0000-0000-0000686F0000}"/>
    <cellStyle name="Normal 366 4 2" xfId="28521" xr:uid="{00000000-0005-0000-0000-0000696F0000}"/>
    <cellStyle name="Normal 366 4 2 2" xfId="28522" xr:uid="{00000000-0005-0000-0000-00006A6F0000}"/>
    <cellStyle name="Normal 366 4 3" xfId="28523" xr:uid="{00000000-0005-0000-0000-00006B6F0000}"/>
    <cellStyle name="Normal 366 5" xfId="28524" xr:uid="{00000000-0005-0000-0000-00006C6F0000}"/>
    <cellStyle name="Normal 366 5 2" xfId="28525" xr:uid="{00000000-0005-0000-0000-00006D6F0000}"/>
    <cellStyle name="Normal 366 5 2 2" xfId="28526" xr:uid="{00000000-0005-0000-0000-00006E6F0000}"/>
    <cellStyle name="Normal 366 5 3" xfId="28527" xr:uid="{00000000-0005-0000-0000-00006F6F0000}"/>
    <cellStyle name="Normal 366 6" xfId="28528" xr:uid="{00000000-0005-0000-0000-0000706F0000}"/>
    <cellStyle name="Normal 366 6 2" xfId="28529" xr:uid="{00000000-0005-0000-0000-0000716F0000}"/>
    <cellStyle name="Normal 366 6 2 2" xfId="28530" xr:uid="{00000000-0005-0000-0000-0000726F0000}"/>
    <cellStyle name="Normal 366 6 3" xfId="28531" xr:uid="{00000000-0005-0000-0000-0000736F0000}"/>
    <cellStyle name="Normal 366 7" xfId="28532" xr:uid="{00000000-0005-0000-0000-0000746F0000}"/>
    <cellStyle name="Normal 367" xfId="28533" xr:uid="{00000000-0005-0000-0000-0000756F0000}"/>
    <cellStyle name="Normal 367 2" xfId="28534" xr:uid="{00000000-0005-0000-0000-0000766F0000}"/>
    <cellStyle name="Normal 367 2 2" xfId="28535" xr:uid="{00000000-0005-0000-0000-0000776F0000}"/>
    <cellStyle name="Normal 367 2 2 2" xfId="28536" xr:uid="{00000000-0005-0000-0000-0000786F0000}"/>
    <cellStyle name="Normal 367 2 3" xfId="28537" xr:uid="{00000000-0005-0000-0000-0000796F0000}"/>
    <cellStyle name="Normal 367 2 3 2" xfId="28538" xr:uid="{00000000-0005-0000-0000-00007A6F0000}"/>
    <cellStyle name="Normal 367 2 3 2 2" xfId="28539" xr:uid="{00000000-0005-0000-0000-00007B6F0000}"/>
    <cellStyle name="Normal 367 2 3 3" xfId="28540" xr:uid="{00000000-0005-0000-0000-00007C6F0000}"/>
    <cellStyle name="Normal 367 2 4" xfId="28541" xr:uid="{00000000-0005-0000-0000-00007D6F0000}"/>
    <cellStyle name="Normal 367 2 4 2" xfId="28542" xr:uid="{00000000-0005-0000-0000-00007E6F0000}"/>
    <cellStyle name="Normal 367 2 4 2 2" xfId="28543" xr:uid="{00000000-0005-0000-0000-00007F6F0000}"/>
    <cellStyle name="Normal 367 2 4 3" xfId="28544" xr:uid="{00000000-0005-0000-0000-0000806F0000}"/>
    <cellStyle name="Normal 367 2 5" xfId="28545" xr:uid="{00000000-0005-0000-0000-0000816F0000}"/>
    <cellStyle name="Normal 367 3" xfId="28546" xr:uid="{00000000-0005-0000-0000-0000826F0000}"/>
    <cellStyle name="Normal 367 3 2" xfId="28547" xr:uid="{00000000-0005-0000-0000-0000836F0000}"/>
    <cellStyle name="Normal 367 3 2 2" xfId="28548" xr:uid="{00000000-0005-0000-0000-0000846F0000}"/>
    <cellStyle name="Normal 367 3 2 2 2" xfId="28549" xr:uid="{00000000-0005-0000-0000-0000856F0000}"/>
    <cellStyle name="Normal 367 3 2 3" xfId="28550" xr:uid="{00000000-0005-0000-0000-0000866F0000}"/>
    <cellStyle name="Normal 367 3 2 3 2" xfId="28551" xr:uid="{00000000-0005-0000-0000-0000876F0000}"/>
    <cellStyle name="Normal 367 3 2 3 2 2" xfId="28552" xr:uid="{00000000-0005-0000-0000-0000886F0000}"/>
    <cellStyle name="Normal 367 3 2 3 3" xfId="28553" xr:uid="{00000000-0005-0000-0000-0000896F0000}"/>
    <cellStyle name="Normal 367 3 2 4" xfId="28554" xr:uid="{00000000-0005-0000-0000-00008A6F0000}"/>
    <cellStyle name="Normal 367 3 3" xfId="28555" xr:uid="{00000000-0005-0000-0000-00008B6F0000}"/>
    <cellStyle name="Normal 367 3 3 2" xfId="28556" xr:uid="{00000000-0005-0000-0000-00008C6F0000}"/>
    <cellStyle name="Normal 367 3 3 2 2" xfId="28557" xr:uid="{00000000-0005-0000-0000-00008D6F0000}"/>
    <cellStyle name="Normal 367 3 3 3" xfId="28558" xr:uid="{00000000-0005-0000-0000-00008E6F0000}"/>
    <cellStyle name="Normal 367 3 4" xfId="28559" xr:uid="{00000000-0005-0000-0000-00008F6F0000}"/>
    <cellStyle name="Normal 367 3 4 2" xfId="28560" xr:uid="{00000000-0005-0000-0000-0000906F0000}"/>
    <cellStyle name="Normal 367 3 4 2 2" xfId="28561" xr:uid="{00000000-0005-0000-0000-0000916F0000}"/>
    <cellStyle name="Normal 367 3 4 3" xfId="28562" xr:uid="{00000000-0005-0000-0000-0000926F0000}"/>
    <cellStyle name="Normal 367 3 5" xfId="28563" xr:uid="{00000000-0005-0000-0000-0000936F0000}"/>
    <cellStyle name="Normal 367 3 5 2" xfId="28564" xr:uid="{00000000-0005-0000-0000-0000946F0000}"/>
    <cellStyle name="Normal 367 3 5 2 2" xfId="28565" xr:uid="{00000000-0005-0000-0000-0000956F0000}"/>
    <cellStyle name="Normal 367 3 5 3" xfId="28566" xr:uid="{00000000-0005-0000-0000-0000966F0000}"/>
    <cellStyle name="Normal 367 3 6" xfId="28567" xr:uid="{00000000-0005-0000-0000-0000976F0000}"/>
    <cellStyle name="Normal 367 4" xfId="28568" xr:uid="{00000000-0005-0000-0000-0000986F0000}"/>
    <cellStyle name="Normal 367 4 2" xfId="28569" xr:uid="{00000000-0005-0000-0000-0000996F0000}"/>
    <cellStyle name="Normal 367 4 2 2" xfId="28570" xr:uid="{00000000-0005-0000-0000-00009A6F0000}"/>
    <cellStyle name="Normal 367 4 3" xfId="28571" xr:uid="{00000000-0005-0000-0000-00009B6F0000}"/>
    <cellStyle name="Normal 367 5" xfId="28572" xr:uid="{00000000-0005-0000-0000-00009C6F0000}"/>
    <cellStyle name="Normal 367 5 2" xfId="28573" xr:uid="{00000000-0005-0000-0000-00009D6F0000}"/>
    <cellStyle name="Normal 367 5 2 2" xfId="28574" xr:uid="{00000000-0005-0000-0000-00009E6F0000}"/>
    <cellStyle name="Normal 367 5 3" xfId="28575" xr:uid="{00000000-0005-0000-0000-00009F6F0000}"/>
    <cellStyle name="Normal 367 6" xfId="28576" xr:uid="{00000000-0005-0000-0000-0000A06F0000}"/>
    <cellStyle name="Normal 367 6 2" xfId="28577" xr:uid="{00000000-0005-0000-0000-0000A16F0000}"/>
    <cellStyle name="Normal 367 6 2 2" xfId="28578" xr:uid="{00000000-0005-0000-0000-0000A26F0000}"/>
    <cellStyle name="Normal 367 6 3" xfId="28579" xr:uid="{00000000-0005-0000-0000-0000A36F0000}"/>
    <cellStyle name="Normal 367 7" xfId="28580" xr:uid="{00000000-0005-0000-0000-0000A46F0000}"/>
    <cellStyle name="Normal 368" xfId="28581" xr:uid="{00000000-0005-0000-0000-0000A56F0000}"/>
    <cellStyle name="Normal 368 2" xfId="28582" xr:uid="{00000000-0005-0000-0000-0000A66F0000}"/>
    <cellStyle name="Normal 368 2 2" xfId="28583" xr:uid="{00000000-0005-0000-0000-0000A76F0000}"/>
    <cellStyle name="Normal 368 2 2 2" xfId="28584" xr:uid="{00000000-0005-0000-0000-0000A86F0000}"/>
    <cellStyle name="Normal 368 2 3" xfId="28585" xr:uid="{00000000-0005-0000-0000-0000A96F0000}"/>
    <cellStyle name="Normal 368 2 3 2" xfId="28586" xr:uid="{00000000-0005-0000-0000-0000AA6F0000}"/>
    <cellStyle name="Normal 368 2 3 2 2" xfId="28587" xr:uid="{00000000-0005-0000-0000-0000AB6F0000}"/>
    <cellStyle name="Normal 368 2 3 3" xfId="28588" xr:uid="{00000000-0005-0000-0000-0000AC6F0000}"/>
    <cellStyle name="Normal 368 2 4" xfId="28589" xr:uid="{00000000-0005-0000-0000-0000AD6F0000}"/>
    <cellStyle name="Normal 368 2 4 2" xfId="28590" xr:uid="{00000000-0005-0000-0000-0000AE6F0000}"/>
    <cellStyle name="Normal 368 2 4 2 2" xfId="28591" xr:uid="{00000000-0005-0000-0000-0000AF6F0000}"/>
    <cellStyle name="Normal 368 2 4 3" xfId="28592" xr:uid="{00000000-0005-0000-0000-0000B06F0000}"/>
    <cellStyle name="Normal 368 2 5" xfId="28593" xr:uid="{00000000-0005-0000-0000-0000B16F0000}"/>
    <cellStyle name="Normal 368 3" xfId="28594" xr:uid="{00000000-0005-0000-0000-0000B26F0000}"/>
    <cellStyle name="Normal 368 3 2" xfId="28595" xr:uid="{00000000-0005-0000-0000-0000B36F0000}"/>
    <cellStyle name="Normal 368 3 2 2" xfId="28596" xr:uid="{00000000-0005-0000-0000-0000B46F0000}"/>
    <cellStyle name="Normal 368 3 2 2 2" xfId="28597" xr:uid="{00000000-0005-0000-0000-0000B56F0000}"/>
    <cellStyle name="Normal 368 3 2 3" xfId="28598" xr:uid="{00000000-0005-0000-0000-0000B66F0000}"/>
    <cellStyle name="Normal 368 3 2 3 2" xfId="28599" xr:uid="{00000000-0005-0000-0000-0000B76F0000}"/>
    <cellStyle name="Normal 368 3 2 3 2 2" xfId="28600" xr:uid="{00000000-0005-0000-0000-0000B86F0000}"/>
    <cellStyle name="Normal 368 3 2 3 3" xfId="28601" xr:uid="{00000000-0005-0000-0000-0000B96F0000}"/>
    <cellStyle name="Normal 368 3 2 4" xfId="28602" xr:uid="{00000000-0005-0000-0000-0000BA6F0000}"/>
    <cellStyle name="Normal 368 3 3" xfId="28603" xr:uid="{00000000-0005-0000-0000-0000BB6F0000}"/>
    <cellStyle name="Normal 368 3 3 2" xfId="28604" xr:uid="{00000000-0005-0000-0000-0000BC6F0000}"/>
    <cellStyle name="Normal 368 3 3 2 2" xfId="28605" xr:uid="{00000000-0005-0000-0000-0000BD6F0000}"/>
    <cellStyle name="Normal 368 3 3 3" xfId="28606" xr:uid="{00000000-0005-0000-0000-0000BE6F0000}"/>
    <cellStyle name="Normal 368 3 4" xfId="28607" xr:uid="{00000000-0005-0000-0000-0000BF6F0000}"/>
    <cellStyle name="Normal 368 3 4 2" xfId="28608" xr:uid="{00000000-0005-0000-0000-0000C06F0000}"/>
    <cellStyle name="Normal 368 3 4 2 2" xfId="28609" xr:uid="{00000000-0005-0000-0000-0000C16F0000}"/>
    <cellStyle name="Normal 368 3 4 3" xfId="28610" xr:uid="{00000000-0005-0000-0000-0000C26F0000}"/>
    <cellStyle name="Normal 368 3 5" xfId="28611" xr:uid="{00000000-0005-0000-0000-0000C36F0000}"/>
    <cellStyle name="Normal 368 3 5 2" xfId="28612" xr:uid="{00000000-0005-0000-0000-0000C46F0000}"/>
    <cellStyle name="Normal 368 3 5 2 2" xfId="28613" xr:uid="{00000000-0005-0000-0000-0000C56F0000}"/>
    <cellStyle name="Normal 368 3 5 3" xfId="28614" xr:uid="{00000000-0005-0000-0000-0000C66F0000}"/>
    <cellStyle name="Normal 368 3 6" xfId="28615" xr:uid="{00000000-0005-0000-0000-0000C76F0000}"/>
    <cellStyle name="Normal 368 4" xfId="28616" xr:uid="{00000000-0005-0000-0000-0000C86F0000}"/>
    <cellStyle name="Normal 368 4 2" xfId="28617" xr:uid="{00000000-0005-0000-0000-0000C96F0000}"/>
    <cellStyle name="Normal 368 4 2 2" xfId="28618" xr:uid="{00000000-0005-0000-0000-0000CA6F0000}"/>
    <cellStyle name="Normal 368 4 3" xfId="28619" xr:uid="{00000000-0005-0000-0000-0000CB6F0000}"/>
    <cellStyle name="Normal 368 5" xfId="28620" xr:uid="{00000000-0005-0000-0000-0000CC6F0000}"/>
    <cellStyle name="Normal 368 5 2" xfId="28621" xr:uid="{00000000-0005-0000-0000-0000CD6F0000}"/>
    <cellStyle name="Normal 368 5 2 2" xfId="28622" xr:uid="{00000000-0005-0000-0000-0000CE6F0000}"/>
    <cellStyle name="Normal 368 5 3" xfId="28623" xr:uid="{00000000-0005-0000-0000-0000CF6F0000}"/>
    <cellStyle name="Normal 368 6" xfId="28624" xr:uid="{00000000-0005-0000-0000-0000D06F0000}"/>
    <cellStyle name="Normal 368 6 2" xfId="28625" xr:uid="{00000000-0005-0000-0000-0000D16F0000}"/>
    <cellStyle name="Normal 368 6 2 2" xfId="28626" xr:uid="{00000000-0005-0000-0000-0000D26F0000}"/>
    <cellStyle name="Normal 368 6 3" xfId="28627" xr:uid="{00000000-0005-0000-0000-0000D36F0000}"/>
    <cellStyle name="Normal 368 7" xfId="28628" xr:uid="{00000000-0005-0000-0000-0000D46F0000}"/>
    <cellStyle name="Normal 369" xfId="28629" xr:uid="{00000000-0005-0000-0000-0000D56F0000}"/>
    <cellStyle name="Normal 369 2" xfId="28630" xr:uid="{00000000-0005-0000-0000-0000D66F0000}"/>
    <cellStyle name="Normal 369 2 2" xfId="28631" xr:uid="{00000000-0005-0000-0000-0000D76F0000}"/>
    <cellStyle name="Normal 369 2 2 2" xfId="28632" xr:uid="{00000000-0005-0000-0000-0000D86F0000}"/>
    <cellStyle name="Normal 369 2 3" xfId="28633" xr:uid="{00000000-0005-0000-0000-0000D96F0000}"/>
    <cellStyle name="Normal 369 2 3 2" xfId="28634" xr:uid="{00000000-0005-0000-0000-0000DA6F0000}"/>
    <cellStyle name="Normal 369 2 3 2 2" xfId="28635" xr:uid="{00000000-0005-0000-0000-0000DB6F0000}"/>
    <cellStyle name="Normal 369 2 3 3" xfId="28636" xr:uid="{00000000-0005-0000-0000-0000DC6F0000}"/>
    <cellStyle name="Normal 369 2 4" xfId="28637" xr:uid="{00000000-0005-0000-0000-0000DD6F0000}"/>
    <cellStyle name="Normal 369 2 4 2" xfId="28638" xr:uid="{00000000-0005-0000-0000-0000DE6F0000}"/>
    <cellStyle name="Normal 369 2 4 2 2" xfId="28639" xr:uid="{00000000-0005-0000-0000-0000DF6F0000}"/>
    <cellStyle name="Normal 369 2 4 3" xfId="28640" xr:uid="{00000000-0005-0000-0000-0000E06F0000}"/>
    <cellStyle name="Normal 369 2 5" xfId="28641" xr:uid="{00000000-0005-0000-0000-0000E16F0000}"/>
    <cellStyle name="Normal 369 3" xfId="28642" xr:uid="{00000000-0005-0000-0000-0000E26F0000}"/>
    <cellStyle name="Normal 369 3 2" xfId="28643" xr:uid="{00000000-0005-0000-0000-0000E36F0000}"/>
    <cellStyle name="Normal 369 3 2 2" xfId="28644" xr:uid="{00000000-0005-0000-0000-0000E46F0000}"/>
    <cellStyle name="Normal 369 3 2 2 2" xfId="28645" xr:uid="{00000000-0005-0000-0000-0000E56F0000}"/>
    <cellStyle name="Normal 369 3 2 3" xfId="28646" xr:uid="{00000000-0005-0000-0000-0000E66F0000}"/>
    <cellStyle name="Normal 369 3 2 3 2" xfId="28647" xr:uid="{00000000-0005-0000-0000-0000E76F0000}"/>
    <cellStyle name="Normal 369 3 2 3 2 2" xfId="28648" xr:uid="{00000000-0005-0000-0000-0000E86F0000}"/>
    <cellStyle name="Normal 369 3 2 3 3" xfId="28649" xr:uid="{00000000-0005-0000-0000-0000E96F0000}"/>
    <cellStyle name="Normal 369 3 2 4" xfId="28650" xr:uid="{00000000-0005-0000-0000-0000EA6F0000}"/>
    <cellStyle name="Normal 369 3 3" xfId="28651" xr:uid="{00000000-0005-0000-0000-0000EB6F0000}"/>
    <cellStyle name="Normal 369 3 3 2" xfId="28652" xr:uid="{00000000-0005-0000-0000-0000EC6F0000}"/>
    <cellStyle name="Normal 369 3 3 2 2" xfId="28653" xr:uid="{00000000-0005-0000-0000-0000ED6F0000}"/>
    <cellStyle name="Normal 369 3 3 3" xfId="28654" xr:uid="{00000000-0005-0000-0000-0000EE6F0000}"/>
    <cellStyle name="Normal 369 3 4" xfId="28655" xr:uid="{00000000-0005-0000-0000-0000EF6F0000}"/>
    <cellStyle name="Normal 369 3 4 2" xfId="28656" xr:uid="{00000000-0005-0000-0000-0000F06F0000}"/>
    <cellStyle name="Normal 369 3 4 2 2" xfId="28657" xr:uid="{00000000-0005-0000-0000-0000F16F0000}"/>
    <cellStyle name="Normal 369 3 4 3" xfId="28658" xr:uid="{00000000-0005-0000-0000-0000F26F0000}"/>
    <cellStyle name="Normal 369 3 5" xfId="28659" xr:uid="{00000000-0005-0000-0000-0000F36F0000}"/>
    <cellStyle name="Normal 369 3 5 2" xfId="28660" xr:uid="{00000000-0005-0000-0000-0000F46F0000}"/>
    <cellStyle name="Normal 369 3 5 2 2" xfId="28661" xr:uid="{00000000-0005-0000-0000-0000F56F0000}"/>
    <cellStyle name="Normal 369 3 5 3" xfId="28662" xr:uid="{00000000-0005-0000-0000-0000F66F0000}"/>
    <cellStyle name="Normal 369 3 6" xfId="28663" xr:uid="{00000000-0005-0000-0000-0000F76F0000}"/>
    <cellStyle name="Normal 369 4" xfId="28664" xr:uid="{00000000-0005-0000-0000-0000F86F0000}"/>
    <cellStyle name="Normal 369 4 2" xfId="28665" xr:uid="{00000000-0005-0000-0000-0000F96F0000}"/>
    <cellStyle name="Normal 369 4 2 2" xfId="28666" xr:uid="{00000000-0005-0000-0000-0000FA6F0000}"/>
    <cellStyle name="Normal 369 4 3" xfId="28667" xr:uid="{00000000-0005-0000-0000-0000FB6F0000}"/>
    <cellStyle name="Normal 369 5" xfId="28668" xr:uid="{00000000-0005-0000-0000-0000FC6F0000}"/>
    <cellStyle name="Normal 369 5 2" xfId="28669" xr:uid="{00000000-0005-0000-0000-0000FD6F0000}"/>
    <cellStyle name="Normal 369 5 2 2" xfId="28670" xr:uid="{00000000-0005-0000-0000-0000FE6F0000}"/>
    <cellStyle name="Normal 369 5 3" xfId="28671" xr:uid="{00000000-0005-0000-0000-0000FF6F0000}"/>
    <cellStyle name="Normal 369 6" xfId="28672" xr:uid="{00000000-0005-0000-0000-000000700000}"/>
    <cellStyle name="Normal 369 6 2" xfId="28673" xr:uid="{00000000-0005-0000-0000-000001700000}"/>
    <cellStyle name="Normal 369 6 2 2" xfId="28674" xr:uid="{00000000-0005-0000-0000-000002700000}"/>
    <cellStyle name="Normal 369 6 3" xfId="28675" xr:uid="{00000000-0005-0000-0000-000003700000}"/>
    <cellStyle name="Normal 369 7" xfId="28676" xr:uid="{00000000-0005-0000-0000-000004700000}"/>
    <cellStyle name="Normal 37" xfId="28677" xr:uid="{00000000-0005-0000-0000-000005700000}"/>
    <cellStyle name="Normal 37 2" xfId="28678" xr:uid="{00000000-0005-0000-0000-000006700000}"/>
    <cellStyle name="Normal 37 2 2" xfId="28679" xr:uid="{00000000-0005-0000-0000-000007700000}"/>
    <cellStyle name="Normal 37 2 2 2" xfId="28680" xr:uid="{00000000-0005-0000-0000-000008700000}"/>
    <cellStyle name="Normal 37 2 2 2 2" xfId="28681" xr:uid="{00000000-0005-0000-0000-000009700000}"/>
    <cellStyle name="Normal 37 2 2 3" xfId="28682" xr:uid="{00000000-0005-0000-0000-00000A700000}"/>
    <cellStyle name="Normal 37 2 2 3 2" xfId="28683" xr:uid="{00000000-0005-0000-0000-00000B700000}"/>
    <cellStyle name="Normal 37 2 2 3 2 2" xfId="28684" xr:uid="{00000000-0005-0000-0000-00000C700000}"/>
    <cellStyle name="Normal 37 2 2 3 3" xfId="28685" xr:uid="{00000000-0005-0000-0000-00000D700000}"/>
    <cellStyle name="Normal 37 2 2 4" xfId="28686" xr:uid="{00000000-0005-0000-0000-00000E700000}"/>
    <cellStyle name="Normal 37 2 2 4 2" xfId="28687" xr:uid="{00000000-0005-0000-0000-00000F700000}"/>
    <cellStyle name="Normal 37 2 2 4 2 2" xfId="28688" xr:uid="{00000000-0005-0000-0000-000010700000}"/>
    <cellStyle name="Normal 37 2 2 4 3" xfId="28689" xr:uid="{00000000-0005-0000-0000-000011700000}"/>
    <cellStyle name="Normal 37 2 2 5" xfId="28690" xr:uid="{00000000-0005-0000-0000-000012700000}"/>
    <cellStyle name="Normal 37 2 3" xfId="28691" xr:uid="{00000000-0005-0000-0000-000013700000}"/>
    <cellStyle name="Normal 37 2 3 2" xfId="28692" xr:uid="{00000000-0005-0000-0000-000014700000}"/>
    <cellStyle name="Normal 37 2 3 2 2" xfId="28693" xr:uid="{00000000-0005-0000-0000-000015700000}"/>
    <cellStyle name="Normal 37 2 3 3" xfId="28694" xr:uid="{00000000-0005-0000-0000-000016700000}"/>
    <cellStyle name="Normal 37 2 4" xfId="28695" xr:uid="{00000000-0005-0000-0000-000017700000}"/>
    <cellStyle name="Normal 37 2 4 2" xfId="28696" xr:uid="{00000000-0005-0000-0000-000018700000}"/>
    <cellStyle name="Normal 37 2 4 2 2" xfId="28697" xr:uid="{00000000-0005-0000-0000-000019700000}"/>
    <cellStyle name="Normal 37 2 4 3" xfId="28698" xr:uid="{00000000-0005-0000-0000-00001A700000}"/>
    <cellStyle name="Normal 37 2 5" xfId="28699" xr:uid="{00000000-0005-0000-0000-00001B700000}"/>
    <cellStyle name="Normal 37 2 5 2" xfId="28700" xr:uid="{00000000-0005-0000-0000-00001C700000}"/>
    <cellStyle name="Normal 37 2 5 2 2" xfId="28701" xr:uid="{00000000-0005-0000-0000-00001D700000}"/>
    <cellStyle name="Normal 37 2 5 3" xfId="28702" xr:uid="{00000000-0005-0000-0000-00001E700000}"/>
    <cellStyle name="Normal 37 2 6" xfId="28703" xr:uid="{00000000-0005-0000-0000-00001F700000}"/>
    <cellStyle name="Normal 37 3" xfId="28704" xr:uid="{00000000-0005-0000-0000-000020700000}"/>
    <cellStyle name="Normal 37 3 2" xfId="28705" xr:uid="{00000000-0005-0000-0000-000021700000}"/>
    <cellStyle name="Normal 37 3 2 2" xfId="28706" xr:uid="{00000000-0005-0000-0000-000022700000}"/>
    <cellStyle name="Normal 37 3 3" xfId="28707" xr:uid="{00000000-0005-0000-0000-000023700000}"/>
    <cellStyle name="Normal 37 3 3 2" xfId="28708" xr:uid="{00000000-0005-0000-0000-000024700000}"/>
    <cellStyle name="Normal 37 3 3 2 2" xfId="28709" xr:uid="{00000000-0005-0000-0000-000025700000}"/>
    <cellStyle name="Normal 37 3 3 3" xfId="28710" xr:uid="{00000000-0005-0000-0000-000026700000}"/>
    <cellStyle name="Normal 37 3 4" xfId="28711" xr:uid="{00000000-0005-0000-0000-000027700000}"/>
    <cellStyle name="Normal 37 3 4 2" xfId="28712" xr:uid="{00000000-0005-0000-0000-000028700000}"/>
    <cellStyle name="Normal 37 3 4 2 2" xfId="28713" xr:uid="{00000000-0005-0000-0000-000029700000}"/>
    <cellStyle name="Normal 37 3 4 3" xfId="28714" xr:uid="{00000000-0005-0000-0000-00002A700000}"/>
    <cellStyle name="Normal 37 3 5" xfId="28715" xr:uid="{00000000-0005-0000-0000-00002B700000}"/>
    <cellStyle name="Normal 37 4" xfId="28716" xr:uid="{00000000-0005-0000-0000-00002C700000}"/>
    <cellStyle name="Normal 37 4 2" xfId="28717" xr:uid="{00000000-0005-0000-0000-00002D700000}"/>
    <cellStyle name="Normal 37 4 2 2" xfId="28718" xr:uid="{00000000-0005-0000-0000-00002E700000}"/>
    <cellStyle name="Normal 37 4 3" xfId="28719" xr:uid="{00000000-0005-0000-0000-00002F700000}"/>
    <cellStyle name="Normal 37 5" xfId="28720" xr:uid="{00000000-0005-0000-0000-000030700000}"/>
    <cellStyle name="Normal 37 5 2" xfId="28721" xr:uid="{00000000-0005-0000-0000-000031700000}"/>
    <cellStyle name="Normal 37 5 2 2" xfId="28722" xr:uid="{00000000-0005-0000-0000-000032700000}"/>
    <cellStyle name="Normal 37 5 3" xfId="28723" xr:uid="{00000000-0005-0000-0000-000033700000}"/>
    <cellStyle name="Normal 37 6" xfId="28724" xr:uid="{00000000-0005-0000-0000-000034700000}"/>
    <cellStyle name="Normal 37 6 2" xfId="28725" xr:uid="{00000000-0005-0000-0000-000035700000}"/>
    <cellStyle name="Normal 37 6 2 2" xfId="28726" xr:uid="{00000000-0005-0000-0000-000036700000}"/>
    <cellStyle name="Normal 37 6 3" xfId="28727" xr:uid="{00000000-0005-0000-0000-000037700000}"/>
    <cellStyle name="Normal 37 7" xfId="28728" xr:uid="{00000000-0005-0000-0000-000038700000}"/>
    <cellStyle name="Normal 370" xfId="28729" xr:uid="{00000000-0005-0000-0000-000039700000}"/>
    <cellStyle name="Normal 370 2" xfId="28730" xr:uid="{00000000-0005-0000-0000-00003A700000}"/>
    <cellStyle name="Normal 370 2 2" xfId="28731" xr:uid="{00000000-0005-0000-0000-00003B700000}"/>
    <cellStyle name="Normal 370 2 2 2" xfId="28732" xr:uid="{00000000-0005-0000-0000-00003C700000}"/>
    <cellStyle name="Normal 370 2 3" xfId="28733" xr:uid="{00000000-0005-0000-0000-00003D700000}"/>
    <cellStyle name="Normal 370 2 3 2" xfId="28734" xr:uid="{00000000-0005-0000-0000-00003E700000}"/>
    <cellStyle name="Normal 370 2 3 2 2" xfId="28735" xr:uid="{00000000-0005-0000-0000-00003F700000}"/>
    <cellStyle name="Normal 370 2 3 3" xfId="28736" xr:uid="{00000000-0005-0000-0000-000040700000}"/>
    <cellStyle name="Normal 370 2 4" xfId="28737" xr:uid="{00000000-0005-0000-0000-000041700000}"/>
    <cellStyle name="Normal 370 2 4 2" xfId="28738" xr:uid="{00000000-0005-0000-0000-000042700000}"/>
    <cellStyle name="Normal 370 2 4 2 2" xfId="28739" xr:uid="{00000000-0005-0000-0000-000043700000}"/>
    <cellStyle name="Normal 370 2 4 3" xfId="28740" xr:uid="{00000000-0005-0000-0000-000044700000}"/>
    <cellStyle name="Normal 370 2 5" xfId="28741" xr:uid="{00000000-0005-0000-0000-000045700000}"/>
    <cellStyle name="Normal 370 3" xfId="28742" xr:uid="{00000000-0005-0000-0000-000046700000}"/>
    <cellStyle name="Normal 370 3 2" xfId="28743" xr:uid="{00000000-0005-0000-0000-000047700000}"/>
    <cellStyle name="Normal 370 3 2 2" xfId="28744" xr:uid="{00000000-0005-0000-0000-000048700000}"/>
    <cellStyle name="Normal 370 3 2 2 2" xfId="28745" xr:uid="{00000000-0005-0000-0000-000049700000}"/>
    <cellStyle name="Normal 370 3 2 3" xfId="28746" xr:uid="{00000000-0005-0000-0000-00004A700000}"/>
    <cellStyle name="Normal 370 3 2 3 2" xfId="28747" xr:uid="{00000000-0005-0000-0000-00004B700000}"/>
    <cellStyle name="Normal 370 3 2 3 2 2" xfId="28748" xr:uid="{00000000-0005-0000-0000-00004C700000}"/>
    <cellStyle name="Normal 370 3 2 3 3" xfId="28749" xr:uid="{00000000-0005-0000-0000-00004D700000}"/>
    <cellStyle name="Normal 370 3 2 4" xfId="28750" xr:uid="{00000000-0005-0000-0000-00004E700000}"/>
    <cellStyle name="Normal 370 3 3" xfId="28751" xr:uid="{00000000-0005-0000-0000-00004F700000}"/>
    <cellStyle name="Normal 370 3 3 2" xfId="28752" xr:uid="{00000000-0005-0000-0000-000050700000}"/>
    <cellStyle name="Normal 370 3 3 2 2" xfId="28753" xr:uid="{00000000-0005-0000-0000-000051700000}"/>
    <cellStyle name="Normal 370 3 3 3" xfId="28754" xr:uid="{00000000-0005-0000-0000-000052700000}"/>
    <cellStyle name="Normal 370 3 4" xfId="28755" xr:uid="{00000000-0005-0000-0000-000053700000}"/>
    <cellStyle name="Normal 370 3 4 2" xfId="28756" xr:uid="{00000000-0005-0000-0000-000054700000}"/>
    <cellStyle name="Normal 370 3 4 2 2" xfId="28757" xr:uid="{00000000-0005-0000-0000-000055700000}"/>
    <cellStyle name="Normal 370 3 4 3" xfId="28758" xr:uid="{00000000-0005-0000-0000-000056700000}"/>
    <cellStyle name="Normal 370 3 5" xfId="28759" xr:uid="{00000000-0005-0000-0000-000057700000}"/>
    <cellStyle name="Normal 370 3 5 2" xfId="28760" xr:uid="{00000000-0005-0000-0000-000058700000}"/>
    <cellStyle name="Normal 370 3 5 2 2" xfId="28761" xr:uid="{00000000-0005-0000-0000-000059700000}"/>
    <cellStyle name="Normal 370 3 5 3" xfId="28762" xr:uid="{00000000-0005-0000-0000-00005A700000}"/>
    <cellStyle name="Normal 370 3 6" xfId="28763" xr:uid="{00000000-0005-0000-0000-00005B700000}"/>
    <cellStyle name="Normal 370 4" xfId="28764" xr:uid="{00000000-0005-0000-0000-00005C700000}"/>
    <cellStyle name="Normal 370 4 2" xfId="28765" xr:uid="{00000000-0005-0000-0000-00005D700000}"/>
    <cellStyle name="Normal 370 4 2 2" xfId="28766" xr:uid="{00000000-0005-0000-0000-00005E700000}"/>
    <cellStyle name="Normal 370 4 3" xfId="28767" xr:uid="{00000000-0005-0000-0000-00005F700000}"/>
    <cellStyle name="Normal 370 5" xfId="28768" xr:uid="{00000000-0005-0000-0000-000060700000}"/>
    <cellStyle name="Normal 370 5 2" xfId="28769" xr:uid="{00000000-0005-0000-0000-000061700000}"/>
    <cellStyle name="Normal 370 5 2 2" xfId="28770" xr:uid="{00000000-0005-0000-0000-000062700000}"/>
    <cellStyle name="Normal 370 5 3" xfId="28771" xr:uid="{00000000-0005-0000-0000-000063700000}"/>
    <cellStyle name="Normal 370 6" xfId="28772" xr:uid="{00000000-0005-0000-0000-000064700000}"/>
    <cellStyle name="Normal 370 6 2" xfId="28773" xr:uid="{00000000-0005-0000-0000-000065700000}"/>
    <cellStyle name="Normal 370 6 2 2" xfId="28774" xr:uid="{00000000-0005-0000-0000-000066700000}"/>
    <cellStyle name="Normal 370 6 3" xfId="28775" xr:uid="{00000000-0005-0000-0000-000067700000}"/>
    <cellStyle name="Normal 370 7" xfId="28776" xr:uid="{00000000-0005-0000-0000-000068700000}"/>
    <cellStyle name="Normal 371" xfId="28777" xr:uid="{00000000-0005-0000-0000-000069700000}"/>
    <cellStyle name="Normal 371 2" xfId="28778" xr:uid="{00000000-0005-0000-0000-00006A700000}"/>
    <cellStyle name="Normal 371 2 2" xfId="28779" xr:uid="{00000000-0005-0000-0000-00006B700000}"/>
    <cellStyle name="Normal 371 2 2 2" xfId="28780" xr:uid="{00000000-0005-0000-0000-00006C700000}"/>
    <cellStyle name="Normal 371 2 3" xfId="28781" xr:uid="{00000000-0005-0000-0000-00006D700000}"/>
    <cellStyle name="Normal 371 2 3 2" xfId="28782" xr:uid="{00000000-0005-0000-0000-00006E700000}"/>
    <cellStyle name="Normal 371 2 3 2 2" xfId="28783" xr:uid="{00000000-0005-0000-0000-00006F700000}"/>
    <cellStyle name="Normal 371 2 3 3" xfId="28784" xr:uid="{00000000-0005-0000-0000-000070700000}"/>
    <cellStyle name="Normal 371 2 4" xfId="28785" xr:uid="{00000000-0005-0000-0000-000071700000}"/>
    <cellStyle name="Normal 371 2 4 2" xfId="28786" xr:uid="{00000000-0005-0000-0000-000072700000}"/>
    <cellStyle name="Normal 371 2 4 2 2" xfId="28787" xr:uid="{00000000-0005-0000-0000-000073700000}"/>
    <cellStyle name="Normal 371 2 4 3" xfId="28788" xr:uid="{00000000-0005-0000-0000-000074700000}"/>
    <cellStyle name="Normal 371 2 5" xfId="28789" xr:uid="{00000000-0005-0000-0000-000075700000}"/>
    <cellStyle name="Normal 371 3" xfId="28790" xr:uid="{00000000-0005-0000-0000-000076700000}"/>
    <cellStyle name="Normal 371 3 2" xfId="28791" xr:uid="{00000000-0005-0000-0000-000077700000}"/>
    <cellStyle name="Normal 371 3 2 2" xfId="28792" xr:uid="{00000000-0005-0000-0000-000078700000}"/>
    <cellStyle name="Normal 371 3 2 2 2" xfId="28793" xr:uid="{00000000-0005-0000-0000-000079700000}"/>
    <cellStyle name="Normal 371 3 2 3" xfId="28794" xr:uid="{00000000-0005-0000-0000-00007A700000}"/>
    <cellStyle name="Normal 371 3 2 3 2" xfId="28795" xr:uid="{00000000-0005-0000-0000-00007B700000}"/>
    <cellStyle name="Normal 371 3 2 3 2 2" xfId="28796" xr:uid="{00000000-0005-0000-0000-00007C700000}"/>
    <cellStyle name="Normal 371 3 2 3 3" xfId="28797" xr:uid="{00000000-0005-0000-0000-00007D700000}"/>
    <cellStyle name="Normal 371 3 2 4" xfId="28798" xr:uid="{00000000-0005-0000-0000-00007E700000}"/>
    <cellStyle name="Normal 371 3 3" xfId="28799" xr:uid="{00000000-0005-0000-0000-00007F700000}"/>
    <cellStyle name="Normal 371 3 3 2" xfId="28800" xr:uid="{00000000-0005-0000-0000-000080700000}"/>
    <cellStyle name="Normal 371 3 3 2 2" xfId="28801" xr:uid="{00000000-0005-0000-0000-000081700000}"/>
    <cellStyle name="Normal 371 3 3 3" xfId="28802" xr:uid="{00000000-0005-0000-0000-000082700000}"/>
    <cellStyle name="Normal 371 3 4" xfId="28803" xr:uid="{00000000-0005-0000-0000-000083700000}"/>
    <cellStyle name="Normal 371 3 4 2" xfId="28804" xr:uid="{00000000-0005-0000-0000-000084700000}"/>
    <cellStyle name="Normal 371 3 4 2 2" xfId="28805" xr:uid="{00000000-0005-0000-0000-000085700000}"/>
    <cellStyle name="Normal 371 3 4 3" xfId="28806" xr:uid="{00000000-0005-0000-0000-000086700000}"/>
    <cellStyle name="Normal 371 3 5" xfId="28807" xr:uid="{00000000-0005-0000-0000-000087700000}"/>
    <cellStyle name="Normal 371 3 5 2" xfId="28808" xr:uid="{00000000-0005-0000-0000-000088700000}"/>
    <cellStyle name="Normal 371 3 5 2 2" xfId="28809" xr:uid="{00000000-0005-0000-0000-000089700000}"/>
    <cellStyle name="Normal 371 3 5 3" xfId="28810" xr:uid="{00000000-0005-0000-0000-00008A700000}"/>
    <cellStyle name="Normal 371 3 6" xfId="28811" xr:uid="{00000000-0005-0000-0000-00008B700000}"/>
    <cellStyle name="Normal 371 4" xfId="28812" xr:uid="{00000000-0005-0000-0000-00008C700000}"/>
    <cellStyle name="Normal 371 4 2" xfId="28813" xr:uid="{00000000-0005-0000-0000-00008D700000}"/>
    <cellStyle name="Normal 371 4 2 2" xfId="28814" xr:uid="{00000000-0005-0000-0000-00008E700000}"/>
    <cellStyle name="Normal 371 4 3" xfId="28815" xr:uid="{00000000-0005-0000-0000-00008F700000}"/>
    <cellStyle name="Normal 371 5" xfId="28816" xr:uid="{00000000-0005-0000-0000-000090700000}"/>
    <cellStyle name="Normal 371 5 2" xfId="28817" xr:uid="{00000000-0005-0000-0000-000091700000}"/>
    <cellStyle name="Normal 371 5 2 2" xfId="28818" xr:uid="{00000000-0005-0000-0000-000092700000}"/>
    <cellStyle name="Normal 371 5 3" xfId="28819" xr:uid="{00000000-0005-0000-0000-000093700000}"/>
    <cellStyle name="Normal 371 6" xfId="28820" xr:uid="{00000000-0005-0000-0000-000094700000}"/>
    <cellStyle name="Normal 371 6 2" xfId="28821" xr:uid="{00000000-0005-0000-0000-000095700000}"/>
    <cellStyle name="Normal 371 6 2 2" xfId="28822" xr:uid="{00000000-0005-0000-0000-000096700000}"/>
    <cellStyle name="Normal 371 6 3" xfId="28823" xr:uid="{00000000-0005-0000-0000-000097700000}"/>
    <cellStyle name="Normal 371 7" xfId="28824" xr:uid="{00000000-0005-0000-0000-000098700000}"/>
    <cellStyle name="Normal 372" xfId="28825" xr:uid="{00000000-0005-0000-0000-000099700000}"/>
    <cellStyle name="Normal 372 2" xfId="28826" xr:uid="{00000000-0005-0000-0000-00009A700000}"/>
    <cellStyle name="Normal 372 2 2" xfId="28827" xr:uid="{00000000-0005-0000-0000-00009B700000}"/>
    <cellStyle name="Normal 372 2 2 2" xfId="28828" xr:uid="{00000000-0005-0000-0000-00009C700000}"/>
    <cellStyle name="Normal 372 2 3" xfId="28829" xr:uid="{00000000-0005-0000-0000-00009D700000}"/>
    <cellStyle name="Normal 372 2 3 2" xfId="28830" xr:uid="{00000000-0005-0000-0000-00009E700000}"/>
    <cellStyle name="Normal 372 2 3 2 2" xfId="28831" xr:uid="{00000000-0005-0000-0000-00009F700000}"/>
    <cellStyle name="Normal 372 2 3 3" xfId="28832" xr:uid="{00000000-0005-0000-0000-0000A0700000}"/>
    <cellStyle name="Normal 372 2 4" xfId="28833" xr:uid="{00000000-0005-0000-0000-0000A1700000}"/>
    <cellStyle name="Normal 372 2 4 2" xfId="28834" xr:uid="{00000000-0005-0000-0000-0000A2700000}"/>
    <cellStyle name="Normal 372 2 4 2 2" xfId="28835" xr:uid="{00000000-0005-0000-0000-0000A3700000}"/>
    <cellStyle name="Normal 372 2 4 3" xfId="28836" xr:uid="{00000000-0005-0000-0000-0000A4700000}"/>
    <cellStyle name="Normal 372 2 5" xfId="28837" xr:uid="{00000000-0005-0000-0000-0000A5700000}"/>
    <cellStyle name="Normal 372 3" xfId="28838" xr:uid="{00000000-0005-0000-0000-0000A6700000}"/>
    <cellStyle name="Normal 372 3 2" xfId="28839" xr:uid="{00000000-0005-0000-0000-0000A7700000}"/>
    <cellStyle name="Normal 372 3 2 2" xfId="28840" xr:uid="{00000000-0005-0000-0000-0000A8700000}"/>
    <cellStyle name="Normal 372 3 2 2 2" xfId="28841" xr:uid="{00000000-0005-0000-0000-0000A9700000}"/>
    <cellStyle name="Normal 372 3 2 3" xfId="28842" xr:uid="{00000000-0005-0000-0000-0000AA700000}"/>
    <cellStyle name="Normal 372 3 2 3 2" xfId="28843" xr:uid="{00000000-0005-0000-0000-0000AB700000}"/>
    <cellStyle name="Normal 372 3 2 3 2 2" xfId="28844" xr:uid="{00000000-0005-0000-0000-0000AC700000}"/>
    <cellStyle name="Normal 372 3 2 3 3" xfId="28845" xr:uid="{00000000-0005-0000-0000-0000AD700000}"/>
    <cellStyle name="Normal 372 3 2 4" xfId="28846" xr:uid="{00000000-0005-0000-0000-0000AE700000}"/>
    <cellStyle name="Normal 372 3 3" xfId="28847" xr:uid="{00000000-0005-0000-0000-0000AF700000}"/>
    <cellStyle name="Normal 372 3 3 2" xfId="28848" xr:uid="{00000000-0005-0000-0000-0000B0700000}"/>
    <cellStyle name="Normal 372 3 3 2 2" xfId="28849" xr:uid="{00000000-0005-0000-0000-0000B1700000}"/>
    <cellStyle name="Normal 372 3 3 3" xfId="28850" xr:uid="{00000000-0005-0000-0000-0000B2700000}"/>
    <cellStyle name="Normal 372 3 4" xfId="28851" xr:uid="{00000000-0005-0000-0000-0000B3700000}"/>
    <cellStyle name="Normal 372 3 4 2" xfId="28852" xr:uid="{00000000-0005-0000-0000-0000B4700000}"/>
    <cellStyle name="Normal 372 3 4 2 2" xfId="28853" xr:uid="{00000000-0005-0000-0000-0000B5700000}"/>
    <cellStyle name="Normal 372 3 4 3" xfId="28854" xr:uid="{00000000-0005-0000-0000-0000B6700000}"/>
    <cellStyle name="Normal 372 3 5" xfId="28855" xr:uid="{00000000-0005-0000-0000-0000B7700000}"/>
    <cellStyle name="Normal 372 3 5 2" xfId="28856" xr:uid="{00000000-0005-0000-0000-0000B8700000}"/>
    <cellStyle name="Normal 372 3 5 2 2" xfId="28857" xr:uid="{00000000-0005-0000-0000-0000B9700000}"/>
    <cellStyle name="Normal 372 3 5 3" xfId="28858" xr:uid="{00000000-0005-0000-0000-0000BA700000}"/>
    <cellStyle name="Normal 372 3 6" xfId="28859" xr:uid="{00000000-0005-0000-0000-0000BB700000}"/>
    <cellStyle name="Normal 372 4" xfId="28860" xr:uid="{00000000-0005-0000-0000-0000BC700000}"/>
    <cellStyle name="Normal 372 4 2" xfId="28861" xr:uid="{00000000-0005-0000-0000-0000BD700000}"/>
    <cellStyle name="Normal 372 4 2 2" xfId="28862" xr:uid="{00000000-0005-0000-0000-0000BE700000}"/>
    <cellStyle name="Normal 372 4 3" xfId="28863" xr:uid="{00000000-0005-0000-0000-0000BF700000}"/>
    <cellStyle name="Normal 372 5" xfId="28864" xr:uid="{00000000-0005-0000-0000-0000C0700000}"/>
    <cellStyle name="Normal 372 5 2" xfId="28865" xr:uid="{00000000-0005-0000-0000-0000C1700000}"/>
    <cellStyle name="Normal 372 5 2 2" xfId="28866" xr:uid="{00000000-0005-0000-0000-0000C2700000}"/>
    <cellStyle name="Normal 372 5 3" xfId="28867" xr:uid="{00000000-0005-0000-0000-0000C3700000}"/>
    <cellStyle name="Normal 372 6" xfId="28868" xr:uid="{00000000-0005-0000-0000-0000C4700000}"/>
    <cellStyle name="Normal 372 6 2" xfId="28869" xr:uid="{00000000-0005-0000-0000-0000C5700000}"/>
    <cellStyle name="Normal 372 6 2 2" xfId="28870" xr:uid="{00000000-0005-0000-0000-0000C6700000}"/>
    <cellStyle name="Normal 372 6 3" xfId="28871" xr:uid="{00000000-0005-0000-0000-0000C7700000}"/>
    <cellStyle name="Normal 372 7" xfId="28872" xr:uid="{00000000-0005-0000-0000-0000C8700000}"/>
    <cellStyle name="Normal 373" xfId="28873" xr:uid="{00000000-0005-0000-0000-0000C9700000}"/>
    <cellStyle name="Normal 373 2" xfId="28874" xr:uid="{00000000-0005-0000-0000-0000CA700000}"/>
    <cellStyle name="Normal 373 2 2" xfId="28875" xr:uid="{00000000-0005-0000-0000-0000CB700000}"/>
    <cellStyle name="Normal 373 2 2 2" xfId="28876" xr:uid="{00000000-0005-0000-0000-0000CC700000}"/>
    <cellStyle name="Normal 373 2 3" xfId="28877" xr:uid="{00000000-0005-0000-0000-0000CD700000}"/>
    <cellStyle name="Normal 373 2 3 2" xfId="28878" xr:uid="{00000000-0005-0000-0000-0000CE700000}"/>
    <cellStyle name="Normal 373 2 3 2 2" xfId="28879" xr:uid="{00000000-0005-0000-0000-0000CF700000}"/>
    <cellStyle name="Normal 373 2 3 3" xfId="28880" xr:uid="{00000000-0005-0000-0000-0000D0700000}"/>
    <cellStyle name="Normal 373 2 4" xfId="28881" xr:uid="{00000000-0005-0000-0000-0000D1700000}"/>
    <cellStyle name="Normal 373 2 4 2" xfId="28882" xr:uid="{00000000-0005-0000-0000-0000D2700000}"/>
    <cellStyle name="Normal 373 2 4 2 2" xfId="28883" xr:uid="{00000000-0005-0000-0000-0000D3700000}"/>
    <cellStyle name="Normal 373 2 4 3" xfId="28884" xr:uid="{00000000-0005-0000-0000-0000D4700000}"/>
    <cellStyle name="Normal 373 2 5" xfId="28885" xr:uid="{00000000-0005-0000-0000-0000D5700000}"/>
    <cellStyle name="Normal 373 3" xfId="28886" xr:uid="{00000000-0005-0000-0000-0000D6700000}"/>
    <cellStyle name="Normal 373 3 2" xfId="28887" xr:uid="{00000000-0005-0000-0000-0000D7700000}"/>
    <cellStyle name="Normal 373 3 2 2" xfId="28888" xr:uid="{00000000-0005-0000-0000-0000D8700000}"/>
    <cellStyle name="Normal 373 3 2 2 2" xfId="28889" xr:uid="{00000000-0005-0000-0000-0000D9700000}"/>
    <cellStyle name="Normal 373 3 2 3" xfId="28890" xr:uid="{00000000-0005-0000-0000-0000DA700000}"/>
    <cellStyle name="Normal 373 3 2 3 2" xfId="28891" xr:uid="{00000000-0005-0000-0000-0000DB700000}"/>
    <cellStyle name="Normal 373 3 2 3 2 2" xfId="28892" xr:uid="{00000000-0005-0000-0000-0000DC700000}"/>
    <cellStyle name="Normal 373 3 2 3 3" xfId="28893" xr:uid="{00000000-0005-0000-0000-0000DD700000}"/>
    <cellStyle name="Normal 373 3 2 4" xfId="28894" xr:uid="{00000000-0005-0000-0000-0000DE700000}"/>
    <cellStyle name="Normal 373 3 3" xfId="28895" xr:uid="{00000000-0005-0000-0000-0000DF700000}"/>
    <cellStyle name="Normal 373 3 3 2" xfId="28896" xr:uid="{00000000-0005-0000-0000-0000E0700000}"/>
    <cellStyle name="Normal 373 3 3 2 2" xfId="28897" xr:uid="{00000000-0005-0000-0000-0000E1700000}"/>
    <cellStyle name="Normal 373 3 3 3" xfId="28898" xr:uid="{00000000-0005-0000-0000-0000E2700000}"/>
    <cellStyle name="Normal 373 3 4" xfId="28899" xr:uid="{00000000-0005-0000-0000-0000E3700000}"/>
    <cellStyle name="Normal 373 3 4 2" xfId="28900" xr:uid="{00000000-0005-0000-0000-0000E4700000}"/>
    <cellStyle name="Normal 373 3 4 2 2" xfId="28901" xr:uid="{00000000-0005-0000-0000-0000E5700000}"/>
    <cellStyle name="Normal 373 3 4 3" xfId="28902" xr:uid="{00000000-0005-0000-0000-0000E6700000}"/>
    <cellStyle name="Normal 373 3 5" xfId="28903" xr:uid="{00000000-0005-0000-0000-0000E7700000}"/>
    <cellStyle name="Normal 373 3 5 2" xfId="28904" xr:uid="{00000000-0005-0000-0000-0000E8700000}"/>
    <cellStyle name="Normal 373 3 5 2 2" xfId="28905" xr:uid="{00000000-0005-0000-0000-0000E9700000}"/>
    <cellStyle name="Normal 373 3 5 3" xfId="28906" xr:uid="{00000000-0005-0000-0000-0000EA700000}"/>
    <cellStyle name="Normal 373 3 6" xfId="28907" xr:uid="{00000000-0005-0000-0000-0000EB700000}"/>
    <cellStyle name="Normal 373 4" xfId="28908" xr:uid="{00000000-0005-0000-0000-0000EC700000}"/>
    <cellStyle name="Normal 373 4 2" xfId="28909" xr:uid="{00000000-0005-0000-0000-0000ED700000}"/>
    <cellStyle name="Normal 373 4 2 2" xfId="28910" xr:uid="{00000000-0005-0000-0000-0000EE700000}"/>
    <cellStyle name="Normal 373 4 3" xfId="28911" xr:uid="{00000000-0005-0000-0000-0000EF700000}"/>
    <cellStyle name="Normal 373 5" xfId="28912" xr:uid="{00000000-0005-0000-0000-0000F0700000}"/>
    <cellStyle name="Normal 373 5 2" xfId="28913" xr:uid="{00000000-0005-0000-0000-0000F1700000}"/>
    <cellStyle name="Normal 373 5 2 2" xfId="28914" xr:uid="{00000000-0005-0000-0000-0000F2700000}"/>
    <cellStyle name="Normal 373 5 3" xfId="28915" xr:uid="{00000000-0005-0000-0000-0000F3700000}"/>
    <cellStyle name="Normal 373 6" xfId="28916" xr:uid="{00000000-0005-0000-0000-0000F4700000}"/>
    <cellStyle name="Normal 373 6 2" xfId="28917" xr:uid="{00000000-0005-0000-0000-0000F5700000}"/>
    <cellStyle name="Normal 373 6 2 2" xfId="28918" xr:uid="{00000000-0005-0000-0000-0000F6700000}"/>
    <cellStyle name="Normal 373 6 3" xfId="28919" xr:uid="{00000000-0005-0000-0000-0000F7700000}"/>
    <cellStyle name="Normal 373 7" xfId="28920" xr:uid="{00000000-0005-0000-0000-0000F8700000}"/>
    <cellStyle name="Normal 374" xfId="28921" xr:uid="{00000000-0005-0000-0000-0000F9700000}"/>
    <cellStyle name="Normal 374 2" xfId="28922" xr:uid="{00000000-0005-0000-0000-0000FA700000}"/>
    <cellStyle name="Normal 374 2 2" xfId="28923" xr:uid="{00000000-0005-0000-0000-0000FB700000}"/>
    <cellStyle name="Normal 374 2 2 2" xfId="28924" xr:uid="{00000000-0005-0000-0000-0000FC700000}"/>
    <cellStyle name="Normal 374 2 3" xfId="28925" xr:uid="{00000000-0005-0000-0000-0000FD700000}"/>
    <cellStyle name="Normal 374 2 3 2" xfId="28926" xr:uid="{00000000-0005-0000-0000-0000FE700000}"/>
    <cellStyle name="Normal 374 2 3 2 2" xfId="28927" xr:uid="{00000000-0005-0000-0000-0000FF700000}"/>
    <cellStyle name="Normal 374 2 3 3" xfId="28928" xr:uid="{00000000-0005-0000-0000-000000710000}"/>
    <cellStyle name="Normal 374 2 4" xfId="28929" xr:uid="{00000000-0005-0000-0000-000001710000}"/>
    <cellStyle name="Normal 374 2 4 2" xfId="28930" xr:uid="{00000000-0005-0000-0000-000002710000}"/>
    <cellStyle name="Normal 374 2 4 2 2" xfId="28931" xr:uid="{00000000-0005-0000-0000-000003710000}"/>
    <cellStyle name="Normal 374 2 4 3" xfId="28932" xr:uid="{00000000-0005-0000-0000-000004710000}"/>
    <cellStyle name="Normal 374 2 5" xfId="28933" xr:uid="{00000000-0005-0000-0000-000005710000}"/>
    <cellStyle name="Normal 374 3" xfId="28934" xr:uid="{00000000-0005-0000-0000-000006710000}"/>
    <cellStyle name="Normal 374 3 2" xfId="28935" xr:uid="{00000000-0005-0000-0000-000007710000}"/>
    <cellStyle name="Normal 374 3 2 2" xfId="28936" xr:uid="{00000000-0005-0000-0000-000008710000}"/>
    <cellStyle name="Normal 374 3 2 2 2" xfId="28937" xr:uid="{00000000-0005-0000-0000-000009710000}"/>
    <cellStyle name="Normal 374 3 2 3" xfId="28938" xr:uid="{00000000-0005-0000-0000-00000A710000}"/>
    <cellStyle name="Normal 374 3 2 3 2" xfId="28939" xr:uid="{00000000-0005-0000-0000-00000B710000}"/>
    <cellStyle name="Normal 374 3 2 3 2 2" xfId="28940" xr:uid="{00000000-0005-0000-0000-00000C710000}"/>
    <cellStyle name="Normal 374 3 2 3 3" xfId="28941" xr:uid="{00000000-0005-0000-0000-00000D710000}"/>
    <cellStyle name="Normal 374 3 2 4" xfId="28942" xr:uid="{00000000-0005-0000-0000-00000E710000}"/>
    <cellStyle name="Normal 374 3 3" xfId="28943" xr:uid="{00000000-0005-0000-0000-00000F710000}"/>
    <cellStyle name="Normal 374 3 3 2" xfId="28944" xr:uid="{00000000-0005-0000-0000-000010710000}"/>
    <cellStyle name="Normal 374 3 3 2 2" xfId="28945" xr:uid="{00000000-0005-0000-0000-000011710000}"/>
    <cellStyle name="Normal 374 3 3 3" xfId="28946" xr:uid="{00000000-0005-0000-0000-000012710000}"/>
    <cellStyle name="Normal 374 3 4" xfId="28947" xr:uid="{00000000-0005-0000-0000-000013710000}"/>
    <cellStyle name="Normal 374 3 4 2" xfId="28948" xr:uid="{00000000-0005-0000-0000-000014710000}"/>
    <cellStyle name="Normal 374 3 4 2 2" xfId="28949" xr:uid="{00000000-0005-0000-0000-000015710000}"/>
    <cellStyle name="Normal 374 3 4 3" xfId="28950" xr:uid="{00000000-0005-0000-0000-000016710000}"/>
    <cellStyle name="Normal 374 3 5" xfId="28951" xr:uid="{00000000-0005-0000-0000-000017710000}"/>
    <cellStyle name="Normal 374 3 5 2" xfId="28952" xr:uid="{00000000-0005-0000-0000-000018710000}"/>
    <cellStyle name="Normal 374 3 5 2 2" xfId="28953" xr:uid="{00000000-0005-0000-0000-000019710000}"/>
    <cellStyle name="Normal 374 3 5 3" xfId="28954" xr:uid="{00000000-0005-0000-0000-00001A710000}"/>
    <cellStyle name="Normal 374 3 6" xfId="28955" xr:uid="{00000000-0005-0000-0000-00001B710000}"/>
    <cellStyle name="Normal 374 4" xfId="28956" xr:uid="{00000000-0005-0000-0000-00001C710000}"/>
    <cellStyle name="Normal 374 4 2" xfId="28957" xr:uid="{00000000-0005-0000-0000-00001D710000}"/>
    <cellStyle name="Normal 374 4 2 2" xfId="28958" xr:uid="{00000000-0005-0000-0000-00001E710000}"/>
    <cellStyle name="Normal 374 4 3" xfId="28959" xr:uid="{00000000-0005-0000-0000-00001F710000}"/>
    <cellStyle name="Normal 374 5" xfId="28960" xr:uid="{00000000-0005-0000-0000-000020710000}"/>
    <cellStyle name="Normal 374 5 2" xfId="28961" xr:uid="{00000000-0005-0000-0000-000021710000}"/>
    <cellStyle name="Normal 374 5 2 2" xfId="28962" xr:uid="{00000000-0005-0000-0000-000022710000}"/>
    <cellStyle name="Normal 374 5 3" xfId="28963" xr:uid="{00000000-0005-0000-0000-000023710000}"/>
    <cellStyle name="Normal 374 6" xfId="28964" xr:uid="{00000000-0005-0000-0000-000024710000}"/>
    <cellStyle name="Normal 374 6 2" xfId="28965" xr:uid="{00000000-0005-0000-0000-000025710000}"/>
    <cellStyle name="Normal 374 6 2 2" xfId="28966" xr:uid="{00000000-0005-0000-0000-000026710000}"/>
    <cellStyle name="Normal 374 6 3" xfId="28967" xr:uid="{00000000-0005-0000-0000-000027710000}"/>
    <cellStyle name="Normal 374 7" xfId="28968" xr:uid="{00000000-0005-0000-0000-000028710000}"/>
    <cellStyle name="Normal 375" xfId="28969" xr:uid="{00000000-0005-0000-0000-000029710000}"/>
    <cellStyle name="Normal 375 2" xfId="28970" xr:uid="{00000000-0005-0000-0000-00002A710000}"/>
    <cellStyle name="Normal 375 2 2" xfId="28971" xr:uid="{00000000-0005-0000-0000-00002B710000}"/>
    <cellStyle name="Normal 375 2 2 2" xfId="28972" xr:uid="{00000000-0005-0000-0000-00002C710000}"/>
    <cellStyle name="Normal 375 2 3" xfId="28973" xr:uid="{00000000-0005-0000-0000-00002D710000}"/>
    <cellStyle name="Normal 375 2 3 2" xfId="28974" xr:uid="{00000000-0005-0000-0000-00002E710000}"/>
    <cellStyle name="Normal 375 2 3 2 2" xfId="28975" xr:uid="{00000000-0005-0000-0000-00002F710000}"/>
    <cellStyle name="Normal 375 2 3 3" xfId="28976" xr:uid="{00000000-0005-0000-0000-000030710000}"/>
    <cellStyle name="Normal 375 2 4" xfId="28977" xr:uid="{00000000-0005-0000-0000-000031710000}"/>
    <cellStyle name="Normal 375 2 4 2" xfId="28978" xr:uid="{00000000-0005-0000-0000-000032710000}"/>
    <cellStyle name="Normal 375 2 4 2 2" xfId="28979" xr:uid="{00000000-0005-0000-0000-000033710000}"/>
    <cellStyle name="Normal 375 2 4 3" xfId="28980" xr:uid="{00000000-0005-0000-0000-000034710000}"/>
    <cellStyle name="Normal 375 2 5" xfId="28981" xr:uid="{00000000-0005-0000-0000-000035710000}"/>
    <cellStyle name="Normal 375 3" xfId="28982" xr:uid="{00000000-0005-0000-0000-000036710000}"/>
    <cellStyle name="Normal 375 3 2" xfId="28983" xr:uid="{00000000-0005-0000-0000-000037710000}"/>
    <cellStyle name="Normal 375 3 2 2" xfId="28984" xr:uid="{00000000-0005-0000-0000-000038710000}"/>
    <cellStyle name="Normal 375 3 2 2 2" xfId="28985" xr:uid="{00000000-0005-0000-0000-000039710000}"/>
    <cellStyle name="Normal 375 3 2 3" xfId="28986" xr:uid="{00000000-0005-0000-0000-00003A710000}"/>
    <cellStyle name="Normal 375 3 2 3 2" xfId="28987" xr:uid="{00000000-0005-0000-0000-00003B710000}"/>
    <cellStyle name="Normal 375 3 2 3 2 2" xfId="28988" xr:uid="{00000000-0005-0000-0000-00003C710000}"/>
    <cellStyle name="Normal 375 3 2 3 3" xfId="28989" xr:uid="{00000000-0005-0000-0000-00003D710000}"/>
    <cellStyle name="Normal 375 3 2 4" xfId="28990" xr:uid="{00000000-0005-0000-0000-00003E710000}"/>
    <cellStyle name="Normal 375 3 3" xfId="28991" xr:uid="{00000000-0005-0000-0000-00003F710000}"/>
    <cellStyle name="Normal 375 3 3 2" xfId="28992" xr:uid="{00000000-0005-0000-0000-000040710000}"/>
    <cellStyle name="Normal 375 3 3 2 2" xfId="28993" xr:uid="{00000000-0005-0000-0000-000041710000}"/>
    <cellStyle name="Normal 375 3 3 3" xfId="28994" xr:uid="{00000000-0005-0000-0000-000042710000}"/>
    <cellStyle name="Normal 375 3 4" xfId="28995" xr:uid="{00000000-0005-0000-0000-000043710000}"/>
    <cellStyle name="Normal 375 3 4 2" xfId="28996" xr:uid="{00000000-0005-0000-0000-000044710000}"/>
    <cellStyle name="Normal 375 3 4 2 2" xfId="28997" xr:uid="{00000000-0005-0000-0000-000045710000}"/>
    <cellStyle name="Normal 375 3 4 3" xfId="28998" xr:uid="{00000000-0005-0000-0000-000046710000}"/>
    <cellStyle name="Normal 375 3 5" xfId="28999" xr:uid="{00000000-0005-0000-0000-000047710000}"/>
    <cellStyle name="Normal 375 3 5 2" xfId="29000" xr:uid="{00000000-0005-0000-0000-000048710000}"/>
    <cellStyle name="Normal 375 3 5 2 2" xfId="29001" xr:uid="{00000000-0005-0000-0000-000049710000}"/>
    <cellStyle name="Normal 375 3 5 3" xfId="29002" xr:uid="{00000000-0005-0000-0000-00004A710000}"/>
    <cellStyle name="Normal 375 3 6" xfId="29003" xr:uid="{00000000-0005-0000-0000-00004B710000}"/>
    <cellStyle name="Normal 375 4" xfId="29004" xr:uid="{00000000-0005-0000-0000-00004C710000}"/>
    <cellStyle name="Normal 375 4 2" xfId="29005" xr:uid="{00000000-0005-0000-0000-00004D710000}"/>
    <cellStyle name="Normal 375 4 2 2" xfId="29006" xr:uid="{00000000-0005-0000-0000-00004E710000}"/>
    <cellStyle name="Normal 375 4 3" xfId="29007" xr:uid="{00000000-0005-0000-0000-00004F710000}"/>
    <cellStyle name="Normal 375 5" xfId="29008" xr:uid="{00000000-0005-0000-0000-000050710000}"/>
    <cellStyle name="Normal 375 5 2" xfId="29009" xr:uid="{00000000-0005-0000-0000-000051710000}"/>
    <cellStyle name="Normal 375 5 2 2" xfId="29010" xr:uid="{00000000-0005-0000-0000-000052710000}"/>
    <cellStyle name="Normal 375 5 3" xfId="29011" xr:uid="{00000000-0005-0000-0000-000053710000}"/>
    <cellStyle name="Normal 375 6" xfId="29012" xr:uid="{00000000-0005-0000-0000-000054710000}"/>
    <cellStyle name="Normal 375 6 2" xfId="29013" xr:uid="{00000000-0005-0000-0000-000055710000}"/>
    <cellStyle name="Normal 375 6 2 2" xfId="29014" xr:uid="{00000000-0005-0000-0000-000056710000}"/>
    <cellStyle name="Normal 375 6 3" xfId="29015" xr:uid="{00000000-0005-0000-0000-000057710000}"/>
    <cellStyle name="Normal 375 7" xfId="29016" xr:uid="{00000000-0005-0000-0000-000058710000}"/>
    <cellStyle name="Normal 376" xfId="29017" xr:uid="{00000000-0005-0000-0000-000059710000}"/>
    <cellStyle name="Normal 376 2" xfId="29018" xr:uid="{00000000-0005-0000-0000-00005A710000}"/>
    <cellStyle name="Normal 376 2 2" xfId="29019" xr:uid="{00000000-0005-0000-0000-00005B710000}"/>
    <cellStyle name="Normal 376 2 2 2" xfId="29020" xr:uid="{00000000-0005-0000-0000-00005C710000}"/>
    <cellStyle name="Normal 376 2 3" xfId="29021" xr:uid="{00000000-0005-0000-0000-00005D710000}"/>
    <cellStyle name="Normal 376 2 3 2" xfId="29022" xr:uid="{00000000-0005-0000-0000-00005E710000}"/>
    <cellStyle name="Normal 376 2 3 2 2" xfId="29023" xr:uid="{00000000-0005-0000-0000-00005F710000}"/>
    <cellStyle name="Normal 376 2 3 3" xfId="29024" xr:uid="{00000000-0005-0000-0000-000060710000}"/>
    <cellStyle name="Normal 376 2 4" xfId="29025" xr:uid="{00000000-0005-0000-0000-000061710000}"/>
    <cellStyle name="Normal 376 2 4 2" xfId="29026" xr:uid="{00000000-0005-0000-0000-000062710000}"/>
    <cellStyle name="Normal 376 2 4 2 2" xfId="29027" xr:uid="{00000000-0005-0000-0000-000063710000}"/>
    <cellStyle name="Normal 376 2 4 3" xfId="29028" xr:uid="{00000000-0005-0000-0000-000064710000}"/>
    <cellStyle name="Normal 376 2 5" xfId="29029" xr:uid="{00000000-0005-0000-0000-000065710000}"/>
    <cellStyle name="Normal 376 3" xfId="29030" xr:uid="{00000000-0005-0000-0000-000066710000}"/>
    <cellStyle name="Normal 376 3 2" xfId="29031" xr:uid="{00000000-0005-0000-0000-000067710000}"/>
    <cellStyle name="Normal 376 3 2 2" xfId="29032" xr:uid="{00000000-0005-0000-0000-000068710000}"/>
    <cellStyle name="Normal 376 3 2 2 2" xfId="29033" xr:uid="{00000000-0005-0000-0000-000069710000}"/>
    <cellStyle name="Normal 376 3 2 3" xfId="29034" xr:uid="{00000000-0005-0000-0000-00006A710000}"/>
    <cellStyle name="Normal 376 3 2 3 2" xfId="29035" xr:uid="{00000000-0005-0000-0000-00006B710000}"/>
    <cellStyle name="Normal 376 3 2 3 2 2" xfId="29036" xr:uid="{00000000-0005-0000-0000-00006C710000}"/>
    <cellStyle name="Normal 376 3 2 3 3" xfId="29037" xr:uid="{00000000-0005-0000-0000-00006D710000}"/>
    <cellStyle name="Normal 376 3 2 4" xfId="29038" xr:uid="{00000000-0005-0000-0000-00006E710000}"/>
    <cellStyle name="Normal 376 3 3" xfId="29039" xr:uid="{00000000-0005-0000-0000-00006F710000}"/>
    <cellStyle name="Normal 376 3 3 2" xfId="29040" xr:uid="{00000000-0005-0000-0000-000070710000}"/>
    <cellStyle name="Normal 376 3 3 2 2" xfId="29041" xr:uid="{00000000-0005-0000-0000-000071710000}"/>
    <cellStyle name="Normal 376 3 3 3" xfId="29042" xr:uid="{00000000-0005-0000-0000-000072710000}"/>
    <cellStyle name="Normal 376 3 4" xfId="29043" xr:uid="{00000000-0005-0000-0000-000073710000}"/>
    <cellStyle name="Normal 376 3 4 2" xfId="29044" xr:uid="{00000000-0005-0000-0000-000074710000}"/>
    <cellStyle name="Normal 376 3 4 2 2" xfId="29045" xr:uid="{00000000-0005-0000-0000-000075710000}"/>
    <cellStyle name="Normal 376 3 4 3" xfId="29046" xr:uid="{00000000-0005-0000-0000-000076710000}"/>
    <cellStyle name="Normal 376 3 5" xfId="29047" xr:uid="{00000000-0005-0000-0000-000077710000}"/>
    <cellStyle name="Normal 376 3 5 2" xfId="29048" xr:uid="{00000000-0005-0000-0000-000078710000}"/>
    <cellStyle name="Normal 376 3 5 2 2" xfId="29049" xr:uid="{00000000-0005-0000-0000-000079710000}"/>
    <cellStyle name="Normal 376 3 5 3" xfId="29050" xr:uid="{00000000-0005-0000-0000-00007A710000}"/>
    <cellStyle name="Normal 376 3 6" xfId="29051" xr:uid="{00000000-0005-0000-0000-00007B710000}"/>
    <cellStyle name="Normal 376 4" xfId="29052" xr:uid="{00000000-0005-0000-0000-00007C710000}"/>
    <cellStyle name="Normal 376 4 2" xfId="29053" xr:uid="{00000000-0005-0000-0000-00007D710000}"/>
    <cellStyle name="Normal 376 4 2 2" xfId="29054" xr:uid="{00000000-0005-0000-0000-00007E710000}"/>
    <cellStyle name="Normal 376 4 3" xfId="29055" xr:uid="{00000000-0005-0000-0000-00007F710000}"/>
    <cellStyle name="Normal 376 5" xfId="29056" xr:uid="{00000000-0005-0000-0000-000080710000}"/>
    <cellStyle name="Normal 376 5 2" xfId="29057" xr:uid="{00000000-0005-0000-0000-000081710000}"/>
    <cellStyle name="Normal 376 5 2 2" xfId="29058" xr:uid="{00000000-0005-0000-0000-000082710000}"/>
    <cellStyle name="Normal 376 5 3" xfId="29059" xr:uid="{00000000-0005-0000-0000-000083710000}"/>
    <cellStyle name="Normal 376 6" xfId="29060" xr:uid="{00000000-0005-0000-0000-000084710000}"/>
    <cellStyle name="Normal 376 6 2" xfId="29061" xr:uid="{00000000-0005-0000-0000-000085710000}"/>
    <cellStyle name="Normal 376 6 2 2" xfId="29062" xr:uid="{00000000-0005-0000-0000-000086710000}"/>
    <cellStyle name="Normal 376 6 3" xfId="29063" xr:uid="{00000000-0005-0000-0000-000087710000}"/>
    <cellStyle name="Normal 376 7" xfId="29064" xr:uid="{00000000-0005-0000-0000-000088710000}"/>
    <cellStyle name="Normal 377" xfId="29065" xr:uid="{00000000-0005-0000-0000-000089710000}"/>
    <cellStyle name="Normal 377 2" xfId="29066" xr:uid="{00000000-0005-0000-0000-00008A710000}"/>
    <cellStyle name="Normal 377 2 2" xfId="29067" xr:uid="{00000000-0005-0000-0000-00008B710000}"/>
    <cellStyle name="Normal 377 2 2 2" xfId="29068" xr:uid="{00000000-0005-0000-0000-00008C710000}"/>
    <cellStyle name="Normal 377 2 3" xfId="29069" xr:uid="{00000000-0005-0000-0000-00008D710000}"/>
    <cellStyle name="Normal 377 2 3 2" xfId="29070" xr:uid="{00000000-0005-0000-0000-00008E710000}"/>
    <cellStyle name="Normal 377 2 3 2 2" xfId="29071" xr:uid="{00000000-0005-0000-0000-00008F710000}"/>
    <cellStyle name="Normal 377 2 3 3" xfId="29072" xr:uid="{00000000-0005-0000-0000-000090710000}"/>
    <cellStyle name="Normal 377 2 4" xfId="29073" xr:uid="{00000000-0005-0000-0000-000091710000}"/>
    <cellStyle name="Normal 377 2 4 2" xfId="29074" xr:uid="{00000000-0005-0000-0000-000092710000}"/>
    <cellStyle name="Normal 377 2 4 2 2" xfId="29075" xr:uid="{00000000-0005-0000-0000-000093710000}"/>
    <cellStyle name="Normal 377 2 4 3" xfId="29076" xr:uid="{00000000-0005-0000-0000-000094710000}"/>
    <cellStyle name="Normal 377 2 5" xfId="29077" xr:uid="{00000000-0005-0000-0000-000095710000}"/>
    <cellStyle name="Normal 377 3" xfId="29078" xr:uid="{00000000-0005-0000-0000-000096710000}"/>
    <cellStyle name="Normal 377 3 2" xfId="29079" xr:uid="{00000000-0005-0000-0000-000097710000}"/>
    <cellStyle name="Normal 377 3 2 2" xfId="29080" xr:uid="{00000000-0005-0000-0000-000098710000}"/>
    <cellStyle name="Normal 377 3 2 2 2" xfId="29081" xr:uid="{00000000-0005-0000-0000-000099710000}"/>
    <cellStyle name="Normal 377 3 2 3" xfId="29082" xr:uid="{00000000-0005-0000-0000-00009A710000}"/>
    <cellStyle name="Normal 377 3 2 3 2" xfId="29083" xr:uid="{00000000-0005-0000-0000-00009B710000}"/>
    <cellStyle name="Normal 377 3 2 3 2 2" xfId="29084" xr:uid="{00000000-0005-0000-0000-00009C710000}"/>
    <cellStyle name="Normal 377 3 2 3 3" xfId="29085" xr:uid="{00000000-0005-0000-0000-00009D710000}"/>
    <cellStyle name="Normal 377 3 2 4" xfId="29086" xr:uid="{00000000-0005-0000-0000-00009E710000}"/>
    <cellStyle name="Normal 377 3 3" xfId="29087" xr:uid="{00000000-0005-0000-0000-00009F710000}"/>
    <cellStyle name="Normal 377 3 3 2" xfId="29088" xr:uid="{00000000-0005-0000-0000-0000A0710000}"/>
    <cellStyle name="Normal 377 3 3 2 2" xfId="29089" xr:uid="{00000000-0005-0000-0000-0000A1710000}"/>
    <cellStyle name="Normal 377 3 3 3" xfId="29090" xr:uid="{00000000-0005-0000-0000-0000A2710000}"/>
    <cellStyle name="Normal 377 3 4" xfId="29091" xr:uid="{00000000-0005-0000-0000-0000A3710000}"/>
    <cellStyle name="Normal 377 3 4 2" xfId="29092" xr:uid="{00000000-0005-0000-0000-0000A4710000}"/>
    <cellStyle name="Normal 377 3 4 2 2" xfId="29093" xr:uid="{00000000-0005-0000-0000-0000A5710000}"/>
    <cellStyle name="Normal 377 3 4 3" xfId="29094" xr:uid="{00000000-0005-0000-0000-0000A6710000}"/>
    <cellStyle name="Normal 377 3 5" xfId="29095" xr:uid="{00000000-0005-0000-0000-0000A7710000}"/>
    <cellStyle name="Normal 377 3 5 2" xfId="29096" xr:uid="{00000000-0005-0000-0000-0000A8710000}"/>
    <cellStyle name="Normal 377 3 5 2 2" xfId="29097" xr:uid="{00000000-0005-0000-0000-0000A9710000}"/>
    <cellStyle name="Normal 377 3 5 3" xfId="29098" xr:uid="{00000000-0005-0000-0000-0000AA710000}"/>
    <cellStyle name="Normal 377 3 6" xfId="29099" xr:uid="{00000000-0005-0000-0000-0000AB710000}"/>
    <cellStyle name="Normal 377 4" xfId="29100" xr:uid="{00000000-0005-0000-0000-0000AC710000}"/>
    <cellStyle name="Normal 377 4 2" xfId="29101" xr:uid="{00000000-0005-0000-0000-0000AD710000}"/>
    <cellStyle name="Normal 377 4 2 2" xfId="29102" xr:uid="{00000000-0005-0000-0000-0000AE710000}"/>
    <cellStyle name="Normal 377 4 3" xfId="29103" xr:uid="{00000000-0005-0000-0000-0000AF710000}"/>
    <cellStyle name="Normal 377 5" xfId="29104" xr:uid="{00000000-0005-0000-0000-0000B0710000}"/>
    <cellStyle name="Normal 377 5 2" xfId="29105" xr:uid="{00000000-0005-0000-0000-0000B1710000}"/>
    <cellStyle name="Normal 377 5 2 2" xfId="29106" xr:uid="{00000000-0005-0000-0000-0000B2710000}"/>
    <cellStyle name="Normal 377 5 3" xfId="29107" xr:uid="{00000000-0005-0000-0000-0000B3710000}"/>
    <cellStyle name="Normal 377 6" xfId="29108" xr:uid="{00000000-0005-0000-0000-0000B4710000}"/>
    <cellStyle name="Normal 377 6 2" xfId="29109" xr:uid="{00000000-0005-0000-0000-0000B5710000}"/>
    <cellStyle name="Normal 377 6 2 2" xfId="29110" xr:uid="{00000000-0005-0000-0000-0000B6710000}"/>
    <cellStyle name="Normal 377 6 3" xfId="29111" xr:uid="{00000000-0005-0000-0000-0000B7710000}"/>
    <cellStyle name="Normal 377 7" xfId="29112" xr:uid="{00000000-0005-0000-0000-0000B8710000}"/>
    <cellStyle name="Normal 378" xfId="29113" xr:uid="{00000000-0005-0000-0000-0000B9710000}"/>
    <cellStyle name="Normal 378 2" xfId="29114" xr:uid="{00000000-0005-0000-0000-0000BA710000}"/>
    <cellStyle name="Normal 378 2 2" xfId="29115" xr:uid="{00000000-0005-0000-0000-0000BB710000}"/>
    <cellStyle name="Normal 378 2 2 2" xfId="29116" xr:uid="{00000000-0005-0000-0000-0000BC710000}"/>
    <cellStyle name="Normal 378 2 3" xfId="29117" xr:uid="{00000000-0005-0000-0000-0000BD710000}"/>
    <cellStyle name="Normal 378 2 3 2" xfId="29118" xr:uid="{00000000-0005-0000-0000-0000BE710000}"/>
    <cellStyle name="Normal 378 2 3 2 2" xfId="29119" xr:uid="{00000000-0005-0000-0000-0000BF710000}"/>
    <cellStyle name="Normal 378 2 3 3" xfId="29120" xr:uid="{00000000-0005-0000-0000-0000C0710000}"/>
    <cellStyle name="Normal 378 2 4" xfId="29121" xr:uid="{00000000-0005-0000-0000-0000C1710000}"/>
    <cellStyle name="Normal 378 2 4 2" xfId="29122" xr:uid="{00000000-0005-0000-0000-0000C2710000}"/>
    <cellStyle name="Normal 378 2 4 2 2" xfId="29123" xr:uid="{00000000-0005-0000-0000-0000C3710000}"/>
    <cellStyle name="Normal 378 2 4 3" xfId="29124" xr:uid="{00000000-0005-0000-0000-0000C4710000}"/>
    <cellStyle name="Normal 378 2 5" xfId="29125" xr:uid="{00000000-0005-0000-0000-0000C5710000}"/>
    <cellStyle name="Normal 378 3" xfId="29126" xr:uid="{00000000-0005-0000-0000-0000C6710000}"/>
    <cellStyle name="Normal 378 3 2" xfId="29127" xr:uid="{00000000-0005-0000-0000-0000C7710000}"/>
    <cellStyle name="Normal 378 3 2 2" xfId="29128" xr:uid="{00000000-0005-0000-0000-0000C8710000}"/>
    <cellStyle name="Normal 378 3 2 2 2" xfId="29129" xr:uid="{00000000-0005-0000-0000-0000C9710000}"/>
    <cellStyle name="Normal 378 3 2 3" xfId="29130" xr:uid="{00000000-0005-0000-0000-0000CA710000}"/>
    <cellStyle name="Normal 378 3 2 3 2" xfId="29131" xr:uid="{00000000-0005-0000-0000-0000CB710000}"/>
    <cellStyle name="Normal 378 3 2 3 2 2" xfId="29132" xr:uid="{00000000-0005-0000-0000-0000CC710000}"/>
    <cellStyle name="Normal 378 3 2 3 3" xfId="29133" xr:uid="{00000000-0005-0000-0000-0000CD710000}"/>
    <cellStyle name="Normal 378 3 2 4" xfId="29134" xr:uid="{00000000-0005-0000-0000-0000CE710000}"/>
    <cellStyle name="Normal 378 3 3" xfId="29135" xr:uid="{00000000-0005-0000-0000-0000CF710000}"/>
    <cellStyle name="Normal 378 3 3 2" xfId="29136" xr:uid="{00000000-0005-0000-0000-0000D0710000}"/>
    <cellStyle name="Normal 378 3 3 2 2" xfId="29137" xr:uid="{00000000-0005-0000-0000-0000D1710000}"/>
    <cellStyle name="Normal 378 3 3 3" xfId="29138" xr:uid="{00000000-0005-0000-0000-0000D2710000}"/>
    <cellStyle name="Normal 378 3 4" xfId="29139" xr:uid="{00000000-0005-0000-0000-0000D3710000}"/>
    <cellStyle name="Normal 378 3 4 2" xfId="29140" xr:uid="{00000000-0005-0000-0000-0000D4710000}"/>
    <cellStyle name="Normal 378 3 4 2 2" xfId="29141" xr:uid="{00000000-0005-0000-0000-0000D5710000}"/>
    <cellStyle name="Normal 378 3 4 3" xfId="29142" xr:uid="{00000000-0005-0000-0000-0000D6710000}"/>
    <cellStyle name="Normal 378 3 5" xfId="29143" xr:uid="{00000000-0005-0000-0000-0000D7710000}"/>
    <cellStyle name="Normal 378 3 5 2" xfId="29144" xr:uid="{00000000-0005-0000-0000-0000D8710000}"/>
    <cellStyle name="Normal 378 3 5 2 2" xfId="29145" xr:uid="{00000000-0005-0000-0000-0000D9710000}"/>
    <cellStyle name="Normal 378 3 5 3" xfId="29146" xr:uid="{00000000-0005-0000-0000-0000DA710000}"/>
    <cellStyle name="Normal 378 3 6" xfId="29147" xr:uid="{00000000-0005-0000-0000-0000DB710000}"/>
    <cellStyle name="Normal 378 4" xfId="29148" xr:uid="{00000000-0005-0000-0000-0000DC710000}"/>
    <cellStyle name="Normal 378 4 2" xfId="29149" xr:uid="{00000000-0005-0000-0000-0000DD710000}"/>
    <cellStyle name="Normal 378 4 2 2" xfId="29150" xr:uid="{00000000-0005-0000-0000-0000DE710000}"/>
    <cellStyle name="Normal 378 4 3" xfId="29151" xr:uid="{00000000-0005-0000-0000-0000DF710000}"/>
    <cellStyle name="Normal 378 5" xfId="29152" xr:uid="{00000000-0005-0000-0000-0000E0710000}"/>
    <cellStyle name="Normal 378 5 2" xfId="29153" xr:uid="{00000000-0005-0000-0000-0000E1710000}"/>
    <cellStyle name="Normal 378 5 2 2" xfId="29154" xr:uid="{00000000-0005-0000-0000-0000E2710000}"/>
    <cellStyle name="Normal 378 5 3" xfId="29155" xr:uid="{00000000-0005-0000-0000-0000E3710000}"/>
    <cellStyle name="Normal 378 6" xfId="29156" xr:uid="{00000000-0005-0000-0000-0000E4710000}"/>
    <cellStyle name="Normal 378 6 2" xfId="29157" xr:uid="{00000000-0005-0000-0000-0000E5710000}"/>
    <cellStyle name="Normal 378 6 2 2" xfId="29158" xr:uid="{00000000-0005-0000-0000-0000E6710000}"/>
    <cellStyle name="Normal 378 6 3" xfId="29159" xr:uid="{00000000-0005-0000-0000-0000E7710000}"/>
    <cellStyle name="Normal 378 7" xfId="29160" xr:uid="{00000000-0005-0000-0000-0000E8710000}"/>
    <cellStyle name="Normal 379" xfId="29161" xr:uid="{00000000-0005-0000-0000-0000E9710000}"/>
    <cellStyle name="Normal 379 2" xfId="29162" xr:uid="{00000000-0005-0000-0000-0000EA710000}"/>
    <cellStyle name="Normal 379 2 2" xfId="29163" xr:uid="{00000000-0005-0000-0000-0000EB710000}"/>
    <cellStyle name="Normal 379 2 2 2" xfId="29164" xr:uid="{00000000-0005-0000-0000-0000EC710000}"/>
    <cellStyle name="Normal 379 2 3" xfId="29165" xr:uid="{00000000-0005-0000-0000-0000ED710000}"/>
    <cellStyle name="Normal 379 2 3 2" xfId="29166" xr:uid="{00000000-0005-0000-0000-0000EE710000}"/>
    <cellStyle name="Normal 379 2 3 2 2" xfId="29167" xr:uid="{00000000-0005-0000-0000-0000EF710000}"/>
    <cellStyle name="Normal 379 2 3 3" xfId="29168" xr:uid="{00000000-0005-0000-0000-0000F0710000}"/>
    <cellStyle name="Normal 379 2 4" xfId="29169" xr:uid="{00000000-0005-0000-0000-0000F1710000}"/>
    <cellStyle name="Normal 379 2 4 2" xfId="29170" xr:uid="{00000000-0005-0000-0000-0000F2710000}"/>
    <cellStyle name="Normal 379 2 4 2 2" xfId="29171" xr:uid="{00000000-0005-0000-0000-0000F3710000}"/>
    <cellStyle name="Normal 379 2 4 3" xfId="29172" xr:uid="{00000000-0005-0000-0000-0000F4710000}"/>
    <cellStyle name="Normal 379 2 5" xfId="29173" xr:uid="{00000000-0005-0000-0000-0000F5710000}"/>
    <cellStyle name="Normal 379 3" xfId="29174" xr:uid="{00000000-0005-0000-0000-0000F6710000}"/>
    <cellStyle name="Normal 379 3 2" xfId="29175" xr:uid="{00000000-0005-0000-0000-0000F7710000}"/>
    <cellStyle name="Normal 379 3 2 2" xfId="29176" xr:uid="{00000000-0005-0000-0000-0000F8710000}"/>
    <cellStyle name="Normal 379 3 2 2 2" xfId="29177" xr:uid="{00000000-0005-0000-0000-0000F9710000}"/>
    <cellStyle name="Normal 379 3 2 3" xfId="29178" xr:uid="{00000000-0005-0000-0000-0000FA710000}"/>
    <cellStyle name="Normal 379 3 2 3 2" xfId="29179" xr:uid="{00000000-0005-0000-0000-0000FB710000}"/>
    <cellStyle name="Normal 379 3 2 3 2 2" xfId="29180" xr:uid="{00000000-0005-0000-0000-0000FC710000}"/>
    <cellStyle name="Normal 379 3 2 3 3" xfId="29181" xr:uid="{00000000-0005-0000-0000-0000FD710000}"/>
    <cellStyle name="Normal 379 3 2 4" xfId="29182" xr:uid="{00000000-0005-0000-0000-0000FE710000}"/>
    <cellStyle name="Normal 379 3 3" xfId="29183" xr:uid="{00000000-0005-0000-0000-0000FF710000}"/>
    <cellStyle name="Normal 379 3 3 2" xfId="29184" xr:uid="{00000000-0005-0000-0000-000000720000}"/>
    <cellStyle name="Normal 379 3 3 2 2" xfId="29185" xr:uid="{00000000-0005-0000-0000-000001720000}"/>
    <cellStyle name="Normal 379 3 3 3" xfId="29186" xr:uid="{00000000-0005-0000-0000-000002720000}"/>
    <cellStyle name="Normal 379 3 4" xfId="29187" xr:uid="{00000000-0005-0000-0000-000003720000}"/>
    <cellStyle name="Normal 379 3 4 2" xfId="29188" xr:uid="{00000000-0005-0000-0000-000004720000}"/>
    <cellStyle name="Normal 379 3 4 2 2" xfId="29189" xr:uid="{00000000-0005-0000-0000-000005720000}"/>
    <cellStyle name="Normal 379 3 4 3" xfId="29190" xr:uid="{00000000-0005-0000-0000-000006720000}"/>
    <cellStyle name="Normal 379 3 5" xfId="29191" xr:uid="{00000000-0005-0000-0000-000007720000}"/>
    <cellStyle name="Normal 379 3 5 2" xfId="29192" xr:uid="{00000000-0005-0000-0000-000008720000}"/>
    <cellStyle name="Normal 379 3 5 2 2" xfId="29193" xr:uid="{00000000-0005-0000-0000-000009720000}"/>
    <cellStyle name="Normal 379 3 5 3" xfId="29194" xr:uid="{00000000-0005-0000-0000-00000A720000}"/>
    <cellStyle name="Normal 379 3 6" xfId="29195" xr:uid="{00000000-0005-0000-0000-00000B720000}"/>
    <cellStyle name="Normal 379 4" xfId="29196" xr:uid="{00000000-0005-0000-0000-00000C720000}"/>
    <cellStyle name="Normal 379 4 2" xfId="29197" xr:uid="{00000000-0005-0000-0000-00000D720000}"/>
    <cellStyle name="Normal 379 4 2 2" xfId="29198" xr:uid="{00000000-0005-0000-0000-00000E720000}"/>
    <cellStyle name="Normal 379 4 3" xfId="29199" xr:uid="{00000000-0005-0000-0000-00000F720000}"/>
    <cellStyle name="Normal 379 5" xfId="29200" xr:uid="{00000000-0005-0000-0000-000010720000}"/>
    <cellStyle name="Normal 379 5 2" xfId="29201" xr:uid="{00000000-0005-0000-0000-000011720000}"/>
    <cellStyle name="Normal 379 5 2 2" xfId="29202" xr:uid="{00000000-0005-0000-0000-000012720000}"/>
    <cellStyle name="Normal 379 5 3" xfId="29203" xr:uid="{00000000-0005-0000-0000-000013720000}"/>
    <cellStyle name="Normal 379 6" xfId="29204" xr:uid="{00000000-0005-0000-0000-000014720000}"/>
    <cellStyle name="Normal 379 6 2" xfId="29205" xr:uid="{00000000-0005-0000-0000-000015720000}"/>
    <cellStyle name="Normal 379 6 2 2" xfId="29206" xr:uid="{00000000-0005-0000-0000-000016720000}"/>
    <cellStyle name="Normal 379 6 3" xfId="29207" xr:uid="{00000000-0005-0000-0000-000017720000}"/>
    <cellStyle name="Normal 379 7" xfId="29208" xr:uid="{00000000-0005-0000-0000-000018720000}"/>
    <cellStyle name="Normal 38" xfId="29209" xr:uid="{00000000-0005-0000-0000-000019720000}"/>
    <cellStyle name="Normal 38 2" xfId="29210" xr:uid="{00000000-0005-0000-0000-00001A720000}"/>
    <cellStyle name="Normal 38 2 2" xfId="29211" xr:uid="{00000000-0005-0000-0000-00001B720000}"/>
    <cellStyle name="Normal 38 2 2 2" xfId="29212" xr:uid="{00000000-0005-0000-0000-00001C720000}"/>
    <cellStyle name="Normal 38 2 2 2 2" xfId="29213" xr:uid="{00000000-0005-0000-0000-00001D720000}"/>
    <cellStyle name="Normal 38 2 2 3" xfId="29214" xr:uid="{00000000-0005-0000-0000-00001E720000}"/>
    <cellStyle name="Normal 38 2 2 3 2" xfId="29215" xr:uid="{00000000-0005-0000-0000-00001F720000}"/>
    <cellStyle name="Normal 38 2 2 3 2 2" xfId="29216" xr:uid="{00000000-0005-0000-0000-000020720000}"/>
    <cellStyle name="Normal 38 2 2 3 3" xfId="29217" xr:uid="{00000000-0005-0000-0000-000021720000}"/>
    <cellStyle name="Normal 38 2 2 4" xfId="29218" xr:uid="{00000000-0005-0000-0000-000022720000}"/>
    <cellStyle name="Normal 38 2 2 4 2" xfId="29219" xr:uid="{00000000-0005-0000-0000-000023720000}"/>
    <cellStyle name="Normal 38 2 2 4 2 2" xfId="29220" xr:uid="{00000000-0005-0000-0000-000024720000}"/>
    <cellStyle name="Normal 38 2 2 4 3" xfId="29221" xr:uid="{00000000-0005-0000-0000-000025720000}"/>
    <cellStyle name="Normal 38 2 2 5" xfId="29222" xr:uid="{00000000-0005-0000-0000-000026720000}"/>
    <cellStyle name="Normal 38 2 3" xfId="29223" xr:uid="{00000000-0005-0000-0000-000027720000}"/>
    <cellStyle name="Normal 38 2 3 2" xfId="29224" xr:uid="{00000000-0005-0000-0000-000028720000}"/>
    <cellStyle name="Normal 38 2 3 2 2" xfId="29225" xr:uid="{00000000-0005-0000-0000-000029720000}"/>
    <cellStyle name="Normal 38 2 3 3" xfId="29226" xr:uid="{00000000-0005-0000-0000-00002A720000}"/>
    <cellStyle name="Normal 38 2 4" xfId="29227" xr:uid="{00000000-0005-0000-0000-00002B720000}"/>
    <cellStyle name="Normal 38 2 4 2" xfId="29228" xr:uid="{00000000-0005-0000-0000-00002C720000}"/>
    <cellStyle name="Normal 38 2 4 2 2" xfId="29229" xr:uid="{00000000-0005-0000-0000-00002D720000}"/>
    <cellStyle name="Normal 38 2 4 3" xfId="29230" xr:uid="{00000000-0005-0000-0000-00002E720000}"/>
    <cellStyle name="Normal 38 2 5" xfId="29231" xr:uid="{00000000-0005-0000-0000-00002F720000}"/>
    <cellStyle name="Normal 38 2 5 2" xfId="29232" xr:uid="{00000000-0005-0000-0000-000030720000}"/>
    <cellStyle name="Normal 38 2 5 2 2" xfId="29233" xr:uid="{00000000-0005-0000-0000-000031720000}"/>
    <cellStyle name="Normal 38 2 5 3" xfId="29234" xr:uid="{00000000-0005-0000-0000-000032720000}"/>
    <cellStyle name="Normal 38 2 6" xfId="29235" xr:uid="{00000000-0005-0000-0000-000033720000}"/>
    <cellStyle name="Normal 38 3" xfId="29236" xr:uid="{00000000-0005-0000-0000-000034720000}"/>
    <cellStyle name="Normal 38 3 2" xfId="29237" xr:uid="{00000000-0005-0000-0000-000035720000}"/>
    <cellStyle name="Normal 38 3 2 2" xfId="29238" xr:uid="{00000000-0005-0000-0000-000036720000}"/>
    <cellStyle name="Normal 38 3 3" xfId="29239" xr:uid="{00000000-0005-0000-0000-000037720000}"/>
    <cellStyle name="Normal 38 3 3 2" xfId="29240" xr:uid="{00000000-0005-0000-0000-000038720000}"/>
    <cellStyle name="Normal 38 3 3 2 2" xfId="29241" xr:uid="{00000000-0005-0000-0000-000039720000}"/>
    <cellStyle name="Normal 38 3 3 3" xfId="29242" xr:uid="{00000000-0005-0000-0000-00003A720000}"/>
    <cellStyle name="Normal 38 3 4" xfId="29243" xr:uid="{00000000-0005-0000-0000-00003B720000}"/>
    <cellStyle name="Normal 38 3 4 2" xfId="29244" xr:uid="{00000000-0005-0000-0000-00003C720000}"/>
    <cellStyle name="Normal 38 3 4 2 2" xfId="29245" xr:uid="{00000000-0005-0000-0000-00003D720000}"/>
    <cellStyle name="Normal 38 3 4 3" xfId="29246" xr:uid="{00000000-0005-0000-0000-00003E720000}"/>
    <cellStyle name="Normal 38 3 5" xfId="29247" xr:uid="{00000000-0005-0000-0000-00003F720000}"/>
    <cellStyle name="Normal 38 4" xfId="29248" xr:uid="{00000000-0005-0000-0000-000040720000}"/>
    <cellStyle name="Normal 38 4 2" xfId="29249" xr:uid="{00000000-0005-0000-0000-000041720000}"/>
    <cellStyle name="Normal 38 4 2 2" xfId="29250" xr:uid="{00000000-0005-0000-0000-000042720000}"/>
    <cellStyle name="Normal 38 4 3" xfId="29251" xr:uid="{00000000-0005-0000-0000-000043720000}"/>
    <cellStyle name="Normal 38 5" xfId="29252" xr:uid="{00000000-0005-0000-0000-000044720000}"/>
    <cellStyle name="Normal 38 5 2" xfId="29253" xr:uid="{00000000-0005-0000-0000-000045720000}"/>
    <cellStyle name="Normal 38 5 2 2" xfId="29254" xr:uid="{00000000-0005-0000-0000-000046720000}"/>
    <cellStyle name="Normal 38 5 3" xfId="29255" xr:uid="{00000000-0005-0000-0000-000047720000}"/>
    <cellStyle name="Normal 38 6" xfId="29256" xr:uid="{00000000-0005-0000-0000-000048720000}"/>
    <cellStyle name="Normal 38 6 2" xfId="29257" xr:uid="{00000000-0005-0000-0000-000049720000}"/>
    <cellStyle name="Normal 38 6 2 2" xfId="29258" xr:uid="{00000000-0005-0000-0000-00004A720000}"/>
    <cellStyle name="Normal 38 6 3" xfId="29259" xr:uid="{00000000-0005-0000-0000-00004B720000}"/>
    <cellStyle name="Normal 38 7" xfId="29260" xr:uid="{00000000-0005-0000-0000-00004C720000}"/>
    <cellStyle name="Normal 380" xfId="29261" xr:uid="{00000000-0005-0000-0000-00004D720000}"/>
    <cellStyle name="Normal 380 2" xfId="29262" xr:uid="{00000000-0005-0000-0000-00004E720000}"/>
    <cellStyle name="Normal 380 2 2" xfId="29263" xr:uid="{00000000-0005-0000-0000-00004F720000}"/>
    <cellStyle name="Normal 380 2 2 2" xfId="29264" xr:uid="{00000000-0005-0000-0000-000050720000}"/>
    <cellStyle name="Normal 380 2 3" xfId="29265" xr:uid="{00000000-0005-0000-0000-000051720000}"/>
    <cellStyle name="Normal 380 2 3 2" xfId="29266" xr:uid="{00000000-0005-0000-0000-000052720000}"/>
    <cellStyle name="Normal 380 2 3 2 2" xfId="29267" xr:uid="{00000000-0005-0000-0000-000053720000}"/>
    <cellStyle name="Normal 380 2 3 3" xfId="29268" xr:uid="{00000000-0005-0000-0000-000054720000}"/>
    <cellStyle name="Normal 380 2 4" xfId="29269" xr:uid="{00000000-0005-0000-0000-000055720000}"/>
    <cellStyle name="Normal 380 2 4 2" xfId="29270" xr:uid="{00000000-0005-0000-0000-000056720000}"/>
    <cellStyle name="Normal 380 2 4 2 2" xfId="29271" xr:uid="{00000000-0005-0000-0000-000057720000}"/>
    <cellStyle name="Normal 380 2 4 3" xfId="29272" xr:uid="{00000000-0005-0000-0000-000058720000}"/>
    <cellStyle name="Normal 380 2 5" xfId="29273" xr:uid="{00000000-0005-0000-0000-000059720000}"/>
    <cellStyle name="Normal 380 3" xfId="29274" xr:uid="{00000000-0005-0000-0000-00005A720000}"/>
    <cellStyle name="Normal 380 3 2" xfId="29275" xr:uid="{00000000-0005-0000-0000-00005B720000}"/>
    <cellStyle name="Normal 380 3 2 2" xfId="29276" xr:uid="{00000000-0005-0000-0000-00005C720000}"/>
    <cellStyle name="Normal 380 3 2 2 2" xfId="29277" xr:uid="{00000000-0005-0000-0000-00005D720000}"/>
    <cellStyle name="Normal 380 3 2 3" xfId="29278" xr:uid="{00000000-0005-0000-0000-00005E720000}"/>
    <cellStyle name="Normal 380 3 2 3 2" xfId="29279" xr:uid="{00000000-0005-0000-0000-00005F720000}"/>
    <cellStyle name="Normal 380 3 2 3 2 2" xfId="29280" xr:uid="{00000000-0005-0000-0000-000060720000}"/>
    <cellStyle name="Normal 380 3 2 3 3" xfId="29281" xr:uid="{00000000-0005-0000-0000-000061720000}"/>
    <cellStyle name="Normal 380 3 2 4" xfId="29282" xr:uid="{00000000-0005-0000-0000-000062720000}"/>
    <cellStyle name="Normal 380 3 3" xfId="29283" xr:uid="{00000000-0005-0000-0000-000063720000}"/>
    <cellStyle name="Normal 380 3 3 2" xfId="29284" xr:uid="{00000000-0005-0000-0000-000064720000}"/>
    <cellStyle name="Normal 380 3 3 2 2" xfId="29285" xr:uid="{00000000-0005-0000-0000-000065720000}"/>
    <cellStyle name="Normal 380 3 3 3" xfId="29286" xr:uid="{00000000-0005-0000-0000-000066720000}"/>
    <cellStyle name="Normal 380 3 4" xfId="29287" xr:uid="{00000000-0005-0000-0000-000067720000}"/>
    <cellStyle name="Normal 380 3 4 2" xfId="29288" xr:uid="{00000000-0005-0000-0000-000068720000}"/>
    <cellStyle name="Normal 380 3 4 2 2" xfId="29289" xr:uid="{00000000-0005-0000-0000-000069720000}"/>
    <cellStyle name="Normal 380 3 4 3" xfId="29290" xr:uid="{00000000-0005-0000-0000-00006A720000}"/>
    <cellStyle name="Normal 380 3 5" xfId="29291" xr:uid="{00000000-0005-0000-0000-00006B720000}"/>
    <cellStyle name="Normal 380 3 5 2" xfId="29292" xr:uid="{00000000-0005-0000-0000-00006C720000}"/>
    <cellStyle name="Normal 380 3 5 2 2" xfId="29293" xr:uid="{00000000-0005-0000-0000-00006D720000}"/>
    <cellStyle name="Normal 380 3 5 3" xfId="29294" xr:uid="{00000000-0005-0000-0000-00006E720000}"/>
    <cellStyle name="Normal 380 3 6" xfId="29295" xr:uid="{00000000-0005-0000-0000-00006F720000}"/>
    <cellStyle name="Normal 380 4" xfId="29296" xr:uid="{00000000-0005-0000-0000-000070720000}"/>
    <cellStyle name="Normal 380 4 2" xfId="29297" xr:uid="{00000000-0005-0000-0000-000071720000}"/>
    <cellStyle name="Normal 380 4 2 2" xfId="29298" xr:uid="{00000000-0005-0000-0000-000072720000}"/>
    <cellStyle name="Normal 380 4 3" xfId="29299" xr:uid="{00000000-0005-0000-0000-000073720000}"/>
    <cellStyle name="Normal 380 5" xfId="29300" xr:uid="{00000000-0005-0000-0000-000074720000}"/>
    <cellStyle name="Normal 380 5 2" xfId="29301" xr:uid="{00000000-0005-0000-0000-000075720000}"/>
    <cellStyle name="Normal 380 5 2 2" xfId="29302" xr:uid="{00000000-0005-0000-0000-000076720000}"/>
    <cellStyle name="Normal 380 5 3" xfId="29303" xr:uid="{00000000-0005-0000-0000-000077720000}"/>
    <cellStyle name="Normal 380 6" xfId="29304" xr:uid="{00000000-0005-0000-0000-000078720000}"/>
    <cellStyle name="Normal 380 6 2" xfId="29305" xr:uid="{00000000-0005-0000-0000-000079720000}"/>
    <cellStyle name="Normal 380 6 2 2" xfId="29306" xr:uid="{00000000-0005-0000-0000-00007A720000}"/>
    <cellStyle name="Normal 380 6 3" xfId="29307" xr:uid="{00000000-0005-0000-0000-00007B720000}"/>
    <cellStyle name="Normal 380 7" xfId="29308" xr:uid="{00000000-0005-0000-0000-00007C720000}"/>
    <cellStyle name="Normal 381" xfId="29309" xr:uid="{00000000-0005-0000-0000-00007D720000}"/>
    <cellStyle name="Normal 381 2" xfId="29310" xr:uid="{00000000-0005-0000-0000-00007E720000}"/>
    <cellStyle name="Normal 381 2 2" xfId="29311" xr:uid="{00000000-0005-0000-0000-00007F720000}"/>
    <cellStyle name="Normal 381 2 2 2" xfId="29312" xr:uid="{00000000-0005-0000-0000-000080720000}"/>
    <cellStyle name="Normal 381 2 3" xfId="29313" xr:uid="{00000000-0005-0000-0000-000081720000}"/>
    <cellStyle name="Normal 381 2 3 2" xfId="29314" xr:uid="{00000000-0005-0000-0000-000082720000}"/>
    <cellStyle name="Normal 381 2 3 2 2" xfId="29315" xr:uid="{00000000-0005-0000-0000-000083720000}"/>
    <cellStyle name="Normal 381 2 3 3" xfId="29316" xr:uid="{00000000-0005-0000-0000-000084720000}"/>
    <cellStyle name="Normal 381 2 4" xfId="29317" xr:uid="{00000000-0005-0000-0000-000085720000}"/>
    <cellStyle name="Normal 381 2 4 2" xfId="29318" xr:uid="{00000000-0005-0000-0000-000086720000}"/>
    <cellStyle name="Normal 381 2 4 2 2" xfId="29319" xr:uid="{00000000-0005-0000-0000-000087720000}"/>
    <cellStyle name="Normal 381 2 4 3" xfId="29320" xr:uid="{00000000-0005-0000-0000-000088720000}"/>
    <cellStyle name="Normal 381 2 5" xfId="29321" xr:uid="{00000000-0005-0000-0000-000089720000}"/>
    <cellStyle name="Normal 381 3" xfId="29322" xr:uid="{00000000-0005-0000-0000-00008A720000}"/>
    <cellStyle name="Normal 381 3 2" xfId="29323" xr:uid="{00000000-0005-0000-0000-00008B720000}"/>
    <cellStyle name="Normal 381 3 2 2" xfId="29324" xr:uid="{00000000-0005-0000-0000-00008C720000}"/>
    <cellStyle name="Normal 381 3 2 2 2" xfId="29325" xr:uid="{00000000-0005-0000-0000-00008D720000}"/>
    <cellStyle name="Normal 381 3 2 3" xfId="29326" xr:uid="{00000000-0005-0000-0000-00008E720000}"/>
    <cellStyle name="Normal 381 3 2 3 2" xfId="29327" xr:uid="{00000000-0005-0000-0000-00008F720000}"/>
    <cellStyle name="Normal 381 3 2 3 2 2" xfId="29328" xr:uid="{00000000-0005-0000-0000-000090720000}"/>
    <cellStyle name="Normal 381 3 2 3 3" xfId="29329" xr:uid="{00000000-0005-0000-0000-000091720000}"/>
    <cellStyle name="Normal 381 3 2 4" xfId="29330" xr:uid="{00000000-0005-0000-0000-000092720000}"/>
    <cellStyle name="Normal 381 3 3" xfId="29331" xr:uid="{00000000-0005-0000-0000-000093720000}"/>
    <cellStyle name="Normal 381 3 3 2" xfId="29332" xr:uid="{00000000-0005-0000-0000-000094720000}"/>
    <cellStyle name="Normal 381 3 3 2 2" xfId="29333" xr:uid="{00000000-0005-0000-0000-000095720000}"/>
    <cellStyle name="Normal 381 3 3 3" xfId="29334" xr:uid="{00000000-0005-0000-0000-000096720000}"/>
    <cellStyle name="Normal 381 3 4" xfId="29335" xr:uid="{00000000-0005-0000-0000-000097720000}"/>
    <cellStyle name="Normal 381 3 4 2" xfId="29336" xr:uid="{00000000-0005-0000-0000-000098720000}"/>
    <cellStyle name="Normal 381 3 4 2 2" xfId="29337" xr:uid="{00000000-0005-0000-0000-000099720000}"/>
    <cellStyle name="Normal 381 3 4 3" xfId="29338" xr:uid="{00000000-0005-0000-0000-00009A720000}"/>
    <cellStyle name="Normal 381 3 5" xfId="29339" xr:uid="{00000000-0005-0000-0000-00009B720000}"/>
    <cellStyle name="Normal 381 3 5 2" xfId="29340" xr:uid="{00000000-0005-0000-0000-00009C720000}"/>
    <cellStyle name="Normal 381 3 5 2 2" xfId="29341" xr:uid="{00000000-0005-0000-0000-00009D720000}"/>
    <cellStyle name="Normal 381 3 5 3" xfId="29342" xr:uid="{00000000-0005-0000-0000-00009E720000}"/>
    <cellStyle name="Normal 381 3 6" xfId="29343" xr:uid="{00000000-0005-0000-0000-00009F720000}"/>
    <cellStyle name="Normal 381 4" xfId="29344" xr:uid="{00000000-0005-0000-0000-0000A0720000}"/>
    <cellStyle name="Normal 381 4 2" xfId="29345" xr:uid="{00000000-0005-0000-0000-0000A1720000}"/>
    <cellStyle name="Normal 381 4 2 2" xfId="29346" xr:uid="{00000000-0005-0000-0000-0000A2720000}"/>
    <cellStyle name="Normal 381 4 3" xfId="29347" xr:uid="{00000000-0005-0000-0000-0000A3720000}"/>
    <cellStyle name="Normal 381 5" xfId="29348" xr:uid="{00000000-0005-0000-0000-0000A4720000}"/>
    <cellStyle name="Normal 381 5 2" xfId="29349" xr:uid="{00000000-0005-0000-0000-0000A5720000}"/>
    <cellStyle name="Normal 381 5 2 2" xfId="29350" xr:uid="{00000000-0005-0000-0000-0000A6720000}"/>
    <cellStyle name="Normal 381 5 3" xfId="29351" xr:uid="{00000000-0005-0000-0000-0000A7720000}"/>
    <cellStyle name="Normal 381 6" xfId="29352" xr:uid="{00000000-0005-0000-0000-0000A8720000}"/>
    <cellStyle name="Normal 381 6 2" xfId="29353" xr:uid="{00000000-0005-0000-0000-0000A9720000}"/>
    <cellStyle name="Normal 381 6 2 2" xfId="29354" xr:uid="{00000000-0005-0000-0000-0000AA720000}"/>
    <cellStyle name="Normal 381 6 3" xfId="29355" xr:uid="{00000000-0005-0000-0000-0000AB720000}"/>
    <cellStyle name="Normal 381 7" xfId="29356" xr:uid="{00000000-0005-0000-0000-0000AC720000}"/>
    <cellStyle name="Normal 382" xfId="29357" xr:uid="{00000000-0005-0000-0000-0000AD720000}"/>
    <cellStyle name="Normal 382 2" xfId="29358" xr:uid="{00000000-0005-0000-0000-0000AE720000}"/>
    <cellStyle name="Normal 382 2 2" xfId="29359" xr:uid="{00000000-0005-0000-0000-0000AF720000}"/>
    <cellStyle name="Normal 382 2 2 2" xfId="29360" xr:uid="{00000000-0005-0000-0000-0000B0720000}"/>
    <cellStyle name="Normal 382 2 3" xfId="29361" xr:uid="{00000000-0005-0000-0000-0000B1720000}"/>
    <cellStyle name="Normal 382 2 3 2" xfId="29362" xr:uid="{00000000-0005-0000-0000-0000B2720000}"/>
    <cellStyle name="Normal 382 2 3 2 2" xfId="29363" xr:uid="{00000000-0005-0000-0000-0000B3720000}"/>
    <cellStyle name="Normal 382 2 3 3" xfId="29364" xr:uid="{00000000-0005-0000-0000-0000B4720000}"/>
    <cellStyle name="Normal 382 2 4" xfId="29365" xr:uid="{00000000-0005-0000-0000-0000B5720000}"/>
    <cellStyle name="Normal 382 2 4 2" xfId="29366" xr:uid="{00000000-0005-0000-0000-0000B6720000}"/>
    <cellStyle name="Normal 382 2 4 2 2" xfId="29367" xr:uid="{00000000-0005-0000-0000-0000B7720000}"/>
    <cellStyle name="Normal 382 2 4 3" xfId="29368" xr:uid="{00000000-0005-0000-0000-0000B8720000}"/>
    <cellStyle name="Normal 382 2 5" xfId="29369" xr:uid="{00000000-0005-0000-0000-0000B9720000}"/>
    <cellStyle name="Normal 382 3" xfId="29370" xr:uid="{00000000-0005-0000-0000-0000BA720000}"/>
    <cellStyle name="Normal 382 3 2" xfId="29371" xr:uid="{00000000-0005-0000-0000-0000BB720000}"/>
    <cellStyle name="Normal 382 3 2 2" xfId="29372" xr:uid="{00000000-0005-0000-0000-0000BC720000}"/>
    <cellStyle name="Normal 382 3 2 2 2" xfId="29373" xr:uid="{00000000-0005-0000-0000-0000BD720000}"/>
    <cellStyle name="Normal 382 3 2 3" xfId="29374" xr:uid="{00000000-0005-0000-0000-0000BE720000}"/>
    <cellStyle name="Normal 382 3 2 3 2" xfId="29375" xr:uid="{00000000-0005-0000-0000-0000BF720000}"/>
    <cellStyle name="Normal 382 3 2 3 2 2" xfId="29376" xr:uid="{00000000-0005-0000-0000-0000C0720000}"/>
    <cellStyle name="Normal 382 3 2 3 3" xfId="29377" xr:uid="{00000000-0005-0000-0000-0000C1720000}"/>
    <cellStyle name="Normal 382 3 2 4" xfId="29378" xr:uid="{00000000-0005-0000-0000-0000C2720000}"/>
    <cellStyle name="Normal 382 3 3" xfId="29379" xr:uid="{00000000-0005-0000-0000-0000C3720000}"/>
    <cellStyle name="Normal 382 3 3 2" xfId="29380" xr:uid="{00000000-0005-0000-0000-0000C4720000}"/>
    <cellStyle name="Normal 382 3 3 2 2" xfId="29381" xr:uid="{00000000-0005-0000-0000-0000C5720000}"/>
    <cellStyle name="Normal 382 3 3 3" xfId="29382" xr:uid="{00000000-0005-0000-0000-0000C6720000}"/>
    <cellStyle name="Normal 382 3 4" xfId="29383" xr:uid="{00000000-0005-0000-0000-0000C7720000}"/>
    <cellStyle name="Normal 382 3 4 2" xfId="29384" xr:uid="{00000000-0005-0000-0000-0000C8720000}"/>
    <cellStyle name="Normal 382 3 4 2 2" xfId="29385" xr:uid="{00000000-0005-0000-0000-0000C9720000}"/>
    <cellStyle name="Normal 382 3 4 3" xfId="29386" xr:uid="{00000000-0005-0000-0000-0000CA720000}"/>
    <cellStyle name="Normal 382 3 5" xfId="29387" xr:uid="{00000000-0005-0000-0000-0000CB720000}"/>
    <cellStyle name="Normal 382 3 5 2" xfId="29388" xr:uid="{00000000-0005-0000-0000-0000CC720000}"/>
    <cellStyle name="Normal 382 3 5 2 2" xfId="29389" xr:uid="{00000000-0005-0000-0000-0000CD720000}"/>
    <cellStyle name="Normal 382 3 5 3" xfId="29390" xr:uid="{00000000-0005-0000-0000-0000CE720000}"/>
    <cellStyle name="Normal 382 3 6" xfId="29391" xr:uid="{00000000-0005-0000-0000-0000CF720000}"/>
    <cellStyle name="Normal 382 4" xfId="29392" xr:uid="{00000000-0005-0000-0000-0000D0720000}"/>
    <cellStyle name="Normal 382 4 2" xfId="29393" xr:uid="{00000000-0005-0000-0000-0000D1720000}"/>
    <cellStyle name="Normal 382 4 2 2" xfId="29394" xr:uid="{00000000-0005-0000-0000-0000D2720000}"/>
    <cellStyle name="Normal 382 4 3" xfId="29395" xr:uid="{00000000-0005-0000-0000-0000D3720000}"/>
    <cellStyle name="Normal 382 5" xfId="29396" xr:uid="{00000000-0005-0000-0000-0000D4720000}"/>
    <cellStyle name="Normal 382 5 2" xfId="29397" xr:uid="{00000000-0005-0000-0000-0000D5720000}"/>
    <cellStyle name="Normal 382 5 2 2" xfId="29398" xr:uid="{00000000-0005-0000-0000-0000D6720000}"/>
    <cellStyle name="Normal 382 5 3" xfId="29399" xr:uid="{00000000-0005-0000-0000-0000D7720000}"/>
    <cellStyle name="Normal 382 6" xfId="29400" xr:uid="{00000000-0005-0000-0000-0000D8720000}"/>
    <cellStyle name="Normal 382 6 2" xfId="29401" xr:uid="{00000000-0005-0000-0000-0000D9720000}"/>
    <cellStyle name="Normal 382 6 2 2" xfId="29402" xr:uid="{00000000-0005-0000-0000-0000DA720000}"/>
    <cellStyle name="Normal 382 6 3" xfId="29403" xr:uid="{00000000-0005-0000-0000-0000DB720000}"/>
    <cellStyle name="Normal 382 7" xfId="29404" xr:uid="{00000000-0005-0000-0000-0000DC720000}"/>
    <cellStyle name="Normal 383" xfId="29405" xr:uid="{00000000-0005-0000-0000-0000DD720000}"/>
    <cellStyle name="Normal 383 2" xfId="29406" xr:uid="{00000000-0005-0000-0000-0000DE720000}"/>
    <cellStyle name="Normal 383 2 2" xfId="29407" xr:uid="{00000000-0005-0000-0000-0000DF720000}"/>
    <cellStyle name="Normal 383 2 2 2" xfId="29408" xr:uid="{00000000-0005-0000-0000-0000E0720000}"/>
    <cellStyle name="Normal 383 2 3" xfId="29409" xr:uid="{00000000-0005-0000-0000-0000E1720000}"/>
    <cellStyle name="Normal 383 2 3 2" xfId="29410" xr:uid="{00000000-0005-0000-0000-0000E2720000}"/>
    <cellStyle name="Normal 383 2 3 2 2" xfId="29411" xr:uid="{00000000-0005-0000-0000-0000E3720000}"/>
    <cellStyle name="Normal 383 2 3 3" xfId="29412" xr:uid="{00000000-0005-0000-0000-0000E4720000}"/>
    <cellStyle name="Normal 383 2 4" xfId="29413" xr:uid="{00000000-0005-0000-0000-0000E5720000}"/>
    <cellStyle name="Normal 383 2 4 2" xfId="29414" xr:uid="{00000000-0005-0000-0000-0000E6720000}"/>
    <cellStyle name="Normal 383 2 4 2 2" xfId="29415" xr:uid="{00000000-0005-0000-0000-0000E7720000}"/>
    <cellStyle name="Normal 383 2 4 3" xfId="29416" xr:uid="{00000000-0005-0000-0000-0000E8720000}"/>
    <cellStyle name="Normal 383 2 5" xfId="29417" xr:uid="{00000000-0005-0000-0000-0000E9720000}"/>
    <cellStyle name="Normal 383 3" xfId="29418" xr:uid="{00000000-0005-0000-0000-0000EA720000}"/>
    <cellStyle name="Normal 383 3 2" xfId="29419" xr:uid="{00000000-0005-0000-0000-0000EB720000}"/>
    <cellStyle name="Normal 383 3 2 2" xfId="29420" xr:uid="{00000000-0005-0000-0000-0000EC720000}"/>
    <cellStyle name="Normal 383 3 2 2 2" xfId="29421" xr:uid="{00000000-0005-0000-0000-0000ED720000}"/>
    <cellStyle name="Normal 383 3 2 3" xfId="29422" xr:uid="{00000000-0005-0000-0000-0000EE720000}"/>
    <cellStyle name="Normal 383 3 2 3 2" xfId="29423" xr:uid="{00000000-0005-0000-0000-0000EF720000}"/>
    <cellStyle name="Normal 383 3 2 3 2 2" xfId="29424" xr:uid="{00000000-0005-0000-0000-0000F0720000}"/>
    <cellStyle name="Normal 383 3 2 3 3" xfId="29425" xr:uid="{00000000-0005-0000-0000-0000F1720000}"/>
    <cellStyle name="Normal 383 3 2 4" xfId="29426" xr:uid="{00000000-0005-0000-0000-0000F2720000}"/>
    <cellStyle name="Normal 383 3 3" xfId="29427" xr:uid="{00000000-0005-0000-0000-0000F3720000}"/>
    <cellStyle name="Normal 383 3 3 2" xfId="29428" xr:uid="{00000000-0005-0000-0000-0000F4720000}"/>
    <cellStyle name="Normal 383 3 3 2 2" xfId="29429" xr:uid="{00000000-0005-0000-0000-0000F5720000}"/>
    <cellStyle name="Normal 383 3 3 3" xfId="29430" xr:uid="{00000000-0005-0000-0000-0000F6720000}"/>
    <cellStyle name="Normal 383 3 4" xfId="29431" xr:uid="{00000000-0005-0000-0000-0000F7720000}"/>
    <cellStyle name="Normal 383 3 4 2" xfId="29432" xr:uid="{00000000-0005-0000-0000-0000F8720000}"/>
    <cellStyle name="Normal 383 3 4 2 2" xfId="29433" xr:uid="{00000000-0005-0000-0000-0000F9720000}"/>
    <cellStyle name="Normal 383 3 4 3" xfId="29434" xr:uid="{00000000-0005-0000-0000-0000FA720000}"/>
    <cellStyle name="Normal 383 3 5" xfId="29435" xr:uid="{00000000-0005-0000-0000-0000FB720000}"/>
    <cellStyle name="Normal 383 3 5 2" xfId="29436" xr:uid="{00000000-0005-0000-0000-0000FC720000}"/>
    <cellStyle name="Normal 383 3 5 2 2" xfId="29437" xr:uid="{00000000-0005-0000-0000-0000FD720000}"/>
    <cellStyle name="Normal 383 3 5 3" xfId="29438" xr:uid="{00000000-0005-0000-0000-0000FE720000}"/>
    <cellStyle name="Normal 383 3 6" xfId="29439" xr:uid="{00000000-0005-0000-0000-0000FF720000}"/>
    <cellStyle name="Normal 383 4" xfId="29440" xr:uid="{00000000-0005-0000-0000-000000730000}"/>
    <cellStyle name="Normal 383 4 2" xfId="29441" xr:uid="{00000000-0005-0000-0000-000001730000}"/>
    <cellStyle name="Normal 383 4 2 2" xfId="29442" xr:uid="{00000000-0005-0000-0000-000002730000}"/>
    <cellStyle name="Normal 383 4 3" xfId="29443" xr:uid="{00000000-0005-0000-0000-000003730000}"/>
    <cellStyle name="Normal 383 5" xfId="29444" xr:uid="{00000000-0005-0000-0000-000004730000}"/>
    <cellStyle name="Normal 383 5 2" xfId="29445" xr:uid="{00000000-0005-0000-0000-000005730000}"/>
    <cellStyle name="Normal 383 5 2 2" xfId="29446" xr:uid="{00000000-0005-0000-0000-000006730000}"/>
    <cellStyle name="Normal 383 5 3" xfId="29447" xr:uid="{00000000-0005-0000-0000-000007730000}"/>
    <cellStyle name="Normal 383 6" xfId="29448" xr:uid="{00000000-0005-0000-0000-000008730000}"/>
    <cellStyle name="Normal 383 6 2" xfId="29449" xr:uid="{00000000-0005-0000-0000-000009730000}"/>
    <cellStyle name="Normal 383 6 2 2" xfId="29450" xr:uid="{00000000-0005-0000-0000-00000A730000}"/>
    <cellStyle name="Normal 383 6 3" xfId="29451" xr:uid="{00000000-0005-0000-0000-00000B730000}"/>
    <cellStyle name="Normal 383 7" xfId="29452" xr:uid="{00000000-0005-0000-0000-00000C730000}"/>
    <cellStyle name="Normal 384" xfId="29453" xr:uid="{00000000-0005-0000-0000-00000D730000}"/>
    <cellStyle name="Normal 384 2" xfId="29454" xr:uid="{00000000-0005-0000-0000-00000E730000}"/>
    <cellStyle name="Normal 384 2 2" xfId="29455" xr:uid="{00000000-0005-0000-0000-00000F730000}"/>
    <cellStyle name="Normal 384 2 2 2" xfId="29456" xr:uid="{00000000-0005-0000-0000-000010730000}"/>
    <cellStyle name="Normal 384 2 3" xfId="29457" xr:uid="{00000000-0005-0000-0000-000011730000}"/>
    <cellStyle name="Normal 384 2 3 2" xfId="29458" xr:uid="{00000000-0005-0000-0000-000012730000}"/>
    <cellStyle name="Normal 384 2 3 2 2" xfId="29459" xr:uid="{00000000-0005-0000-0000-000013730000}"/>
    <cellStyle name="Normal 384 2 3 3" xfId="29460" xr:uid="{00000000-0005-0000-0000-000014730000}"/>
    <cellStyle name="Normal 384 2 4" xfId="29461" xr:uid="{00000000-0005-0000-0000-000015730000}"/>
    <cellStyle name="Normal 384 2 4 2" xfId="29462" xr:uid="{00000000-0005-0000-0000-000016730000}"/>
    <cellStyle name="Normal 384 2 4 2 2" xfId="29463" xr:uid="{00000000-0005-0000-0000-000017730000}"/>
    <cellStyle name="Normal 384 2 4 3" xfId="29464" xr:uid="{00000000-0005-0000-0000-000018730000}"/>
    <cellStyle name="Normal 384 2 5" xfId="29465" xr:uid="{00000000-0005-0000-0000-000019730000}"/>
    <cellStyle name="Normal 384 3" xfId="29466" xr:uid="{00000000-0005-0000-0000-00001A730000}"/>
    <cellStyle name="Normal 384 3 2" xfId="29467" xr:uid="{00000000-0005-0000-0000-00001B730000}"/>
    <cellStyle name="Normal 384 3 2 2" xfId="29468" xr:uid="{00000000-0005-0000-0000-00001C730000}"/>
    <cellStyle name="Normal 384 3 2 2 2" xfId="29469" xr:uid="{00000000-0005-0000-0000-00001D730000}"/>
    <cellStyle name="Normal 384 3 2 3" xfId="29470" xr:uid="{00000000-0005-0000-0000-00001E730000}"/>
    <cellStyle name="Normal 384 3 2 3 2" xfId="29471" xr:uid="{00000000-0005-0000-0000-00001F730000}"/>
    <cellStyle name="Normal 384 3 2 3 2 2" xfId="29472" xr:uid="{00000000-0005-0000-0000-000020730000}"/>
    <cellStyle name="Normal 384 3 2 3 3" xfId="29473" xr:uid="{00000000-0005-0000-0000-000021730000}"/>
    <cellStyle name="Normal 384 3 2 4" xfId="29474" xr:uid="{00000000-0005-0000-0000-000022730000}"/>
    <cellStyle name="Normal 384 3 3" xfId="29475" xr:uid="{00000000-0005-0000-0000-000023730000}"/>
    <cellStyle name="Normal 384 3 3 2" xfId="29476" xr:uid="{00000000-0005-0000-0000-000024730000}"/>
    <cellStyle name="Normal 384 3 3 2 2" xfId="29477" xr:uid="{00000000-0005-0000-0000-000025730000}"/>
    <cellStyle name="Normal 384 3 3 3" xfId="29478" xr:uid="{00000000-0005-0000-0000-000026730000}"/>
    <cellStyle name="Normal 384 3 4" xfId="29479" xr:uid="{00000000-0005-0000-0000-000027730000}"/>
    <cellStyle name="Normal 384 3 4 2" xfId="29480" xr:uid="{00000000-0005-0000-0000-000028730000}"/>
    <cellStyle name="Normal 384 3 4 2 2" xfId="29481" xr:uid="{00000000-0005-0000-0000-000029730000}"/>
    <cellStyle name="Normal 384 3 4 3" xfId="29482" xr:uid="{00000000-0005-0000-0000-00002A730000}"/>
    <cellStyle name="Normal 384 3 5" xfId="29483" xr:uid="{00000000-0005-0000-0000-00002B730000}"/>
    <cellStyle name="Normal 384 3 5 2" xfId="29484" xr:uid="{00000000-0005-0000-0000-00002C730000}"/>
    <cellStyle name="Normal 384 3 5 2 2" xfId="29485" xr:uid="{00000000-0005-0000-0000-00002D730000}"/>
    <cellStyle name="Normal 384 3 5 3" xfId="29486" xr:uid="{00000000-0005-0000-0000-00002E730000}"/>
    <cellStyle name="Normal 384 3 6" xfId="29487" xr:uid="{00000000-0005-0000-0000-00002F730000}"/>
    <cellStyle name="Normal 384 4" xfId="29488" xr:uid="{00000000-0005-0000-0000-000030730000}"/>
    <cellStyle name="Normal 384 4 2" xfId="29489" xr:uid="{00000000-0005-0000-0000-000031730000}"/>
    <cellStyle name="Normal 384 4 2 2" xfId="29490" xr:uid="{00000000-0005-0000-0000-000032730000}"/>
    <cellStyle name="Normal 384 4 3" xfId="29491" xr:uid="{00000000-0005-0000-0000-000033730000}"/>
    <cellStyle name="Normal 384 5" xfId="29492" xr:uid="{00000000-0005-0000-0000-000034730000}"/>
    <cellStyle name="Normal 384 5 2" xfId="29493" xr:uid="{00000000-0005-0000-0000-000035730000}"/>
    <cellStyle name="Normal 384 5 2 2" xfId="29494" xr:uid="{00000000-0005-0000-0000-000036730000}"/>
    <cellStyle name="Normal 384 5 3" xfId="29495" xr:uid="{00000000-0005-0000-0000-000037730000}"/>
    <cellStyle name="Normal 384 6" xfId="29496" xr:uid="{00000000-0005-0000-0000-000038730000}"/>
    <cellStyle name="Normal 384 6 2" xfId="29497" xr:uid="{00000000-0005-0000-0000-000039730000}"/>
    <cellStyle name="Normal 384 6 2 2" xfId="29498" xr:uid="{00000000-0005-0000-0000-00003A730000}"/>
    <cellStyle name="Normal 384 6 3" xfId="29499" xr:uid="{00000000-0005-0000-0000-00003B730000}"/>
    <cellStyle name="Normal 384 7" xfId="29500" xr:uid="{00000000-0005-0000-0000-00003C730000}"/>
    <cellStyle name="Normal 385" xfId="29501" xr:uid="{00000000-0005-0000-0000-00003D730000}"/>
    <cellStyle name="Normal 385 2" xfId="29502" xr:uid="{00000000-0005-0000-0000-00003E730000}"/>
    <cellStyle name="Normal 385 2 2" xfId="29503" xr:uid="{00000000-0005-0000-0000-00003F730000}"/>
    <cellStyle name="Normal 385 2 2 2" xfId="29504" xr:uid="{00000000-0005-0000-0000-000040730000}"/>
    <cellStyle name="Normal 385 2 3" xfId="29505" xr:uid="{00000000-0005-0000-0000-000041730000}"/>
    <cellStyle name="Normal 385 2 3 2" xfId="29506" xr:uid="{00000000-0005-0000-0000-000042730000}"/>
    <cellStyle name="Normal 385 2 3 2 2" xfId="29507" xr:uid="{00000000-0005-0000-0000-000043730000}"/>
    <cellStyle name="Normal 385 2 3 3" xfId="29508" xr:uid="{00000000-0005-0000-0000-000044730000}"/>
    <cellStyle name="Normal 385 2 4" xfId="29509" xr:uid="{00000000-0005-0000-0000-000045730000}"/>
    <cellStyle name="Normal 385 2 4 2" xfId="29510" xr:uid="{00000000-0005-0000-0000-000046730000}"/>
    <cellStyle name="Normal 385 2 4 2 2" xfId="29511" xr:uid="{00000000-0005-0000-0000-000047730000}"/>
    <cellStyle name="Normal 385 2 4 3" xfId="29512" xr:uid="{00000000-0005-0000-0000-000048730000}"/>
    <cellStyle name="Normal 385 2 5" xfId="29513" xr:uid="{00000000-0005-0000-0000-000049730000}"/>
    <cellStyle name="Normal 385 3" xfId="29514" xr:uid="{00000000-0005-0000-0000-00004A730000}"/>
    <cellStyle name="Normal 385 3 2" xfId="29515" xr:uid="{00000000-0005-0000-0000-00004B730000}"/>
    <cellStyle name="Normal 385 3 2 2" xfId="29516" xr:uid="{00000000-0005-0000-0000-00004C730000}"/>
    <cellStyle name="Normal 385 3 2 2 2" xfId="29517" xr:uid="{00000000-0005-0000-0000-00004D730000}"/>
    <cellStyle name="Normal 385 3 2 3" xfId="29518" xr:uid="{00000000-0005-0000-0000-00004E730000}"/>
    <cellStyle name="Normal 385 3 2 3 2" xfId="29519" xr:uid="{00000000-0005-0000-0000-00004F730000}"/>
    <cellStyle name="Normal 385 3 2 3 2 2" xfId="29520" xr:uid="{00000000-0005-0000-0000-000050730000}"/>
    <cellStyle name="Normal 385 3 2 3 3" xfId="29521" xr:uid="{00000000-0005-0000-0000-000051730000}"/>
    <cellStyle name="Normal 385 3 2 4" xfId="29522" xr:uid="{00000000-0005-0000-0000-000052730000}"/>
    <cellStyle name="Normal 385 3 3" xfId="29523" xr:uid="{00000000-0005-0000-0000-000053730000}"/>
    <cellStyle name="Normal 385 3 3 2" xfId="29524" xr:uid="{00000000-0005-0000-0000-000054730000}"/>
    <cellStyle name="Normal 385 3 3 2 2" xfId="29525" xr:uid="{00000000-0005-0000-0000-000055730000}"/>
    <cellStyle name="Normal 385 3 3 3" xfId="29526" xr:uid="{00000000-0005-0000-0000-000056730000}"/>
    <cellStyle name="Normal 385 3 4" xfId="29527" xr:uid="{00000000-0005-0000-0000-000057730000}"/>
    <cellStyle name="Normal 385 3 4 2" xfId="29528" xr:uid="{00000000-0005-0000-0000-000058730000}"/>
    <cellStyle name="Normal 385 3 4 2 2" xfId="29529" xr:uid="{00000000-0005-0000-0000-000059730000}"/>
    <cellStyle name="Normal 385 3 4 3" xfId="29530" xr:uid="{00000000-0005-0000-0000-00005A730000}"/>
    <cellStyle name="Normal 385 3 5" xfId="29531" xr:uid="{00000000-0005-0000-0000-00005B730000}"/>
    <cellStyle name="Normal 385 3 5 2" xfId="29532" xr:uid="{00000000-0005-0000-0000-00005C730000}"/>
    <cellStyle name="Normal 385 3 5 2 2" xfId="29533" xr:uid="{00000000-0005-0000-0000-00005D730000}"/>
    <cellStyle name="Normal 385 3 5 3" xfId="29534" xr:uid="{00000000-0005-0000-0000-00005E730000}"/>
    <cellStyle name="Normal 385 3 6" xfId="29535" xr:uid="{00000000-0005-0000-0000-00005F730000}"/>
    <cellStyle name="Normal 385 4" xfId="29536" xr:uid="{00000000-0005-0000-0000-000060730000}"/>
    <cellStyle name="Normal 385 4 2" xfId="29537" xr:uid="{00000000-0005-0000-0000-000061730000}"/>
    <cellStyle name="Normal 385 4 2 2" xfId="29538" xr:uid="{00000000-0005-0000-0000-000062730000}"/>
    <cellStyle name="Normal 385 4 3" xfId="29539" xr:uid="{00000000-0005-0000-0000-000063730000}"/>
    <cellStyle name="Normal 385 5" xfId="29540" xr:uid="{00000000-0005-0000-0000-000064730000}"/>
    <cellStyle name="Normal 385 5 2" xfId="29541" xr:uid="{00000000-0005-0000-0000-000065730000}"/>
    <cellStyle name="Normal 385 5 2 2" xfId="29542" xr:uid="{00000000-0005-0000-0000-000066730000}"/>
    <cellStyle name="Normal 385 5 3" xfId="29543" xr:uid="{00000000-0005-0000-0000-000067730000}"/>
    <cellStyle name="Normal 385 6" xfId="29544" xr:uid="{00000000-0005-0000-0000-000068730000}"/>
    <cellStyle name="Normal 385 6 2" xfId="29545" xr:uid="{00000000-0005-0000-0000-000069730000}"/>
    <cellStyle name="Normal 385 6 2 2" xfId="29546" xr:uid="{00000000-0005-0000-0000-00006A730000}"/>
    <cellStyle name="Normal 385 6 3" xfId="29547" xr:uid="{00000000-0005-0000-0000-00006B730000}"/>
    <cellStyle name="Normal 385 7" xfId="29548" xr:uid="{00000000-0005-0000-0000-00006C730000}"/>
    <cellStyle name="Normal 386" xfId="29549" xr:uid="{00000000-0005-0000-0000-00006D730000}"/>
    <cellStyle name="Normal 386 2" xfId="29550" xr:uid="{00000000-0005-0000-0000-00006E730000}"/>
    <cellStyle name="Normal 386 2 2" xfId="29551" xr:uid="{00000000-0005-0000-0000-00006F730000}"/>
    <cellStyle name="Normal 386 2 2 2" xfId="29552" xr:uid="{00000000-0005-0000-0000-000070730000}"/>
    <cellStyle name="Normal 386 2 3" xfId="29553" xr:uid="{00000000-0005-0000-0000-000071730000}"/>
    <cellStyle name="Normal 386 2 3 2" xfId="29554" xr:uid="{00000000-0005-0000-0000-000072730000}"/>
    <cellStyle name="Normal 386 2 3 2 2" xfId="29555" xr:uid="{00000000-0005-0000-0000-000073730000}"/>
    <cellStyle name="Normal 386 2 3 3" xfId="29556" xr:uid="{00000000-0005-0000-0000-000074730000}"/>
    <cellStyle name="Normal 386 2 4" xfId="29557" xr:uid="{00000000-0005-0000-0000-000075730000}"/>
    <cellStyle name="Normal 386 2 4 2" xfId="29558" xr:uid="{00000000-0005-0000-0000-000076730000}"/>
    <cellStyle name="Normal 386 2 4 2 2" xfId="29559" xr:uid="{00000000-0005-0000-0000-000077730000}"/>
    <cellStyle name="Normal 386 2 4 3" xfId="29560" xr:uid="{00000000-0005-0000-0000-000078730000}"/>
    <cellStyle name="Normal 386 2 5" xfId="29561" xr:uid="{00000000-0005-0000-0000-000079730000}"/>
    <cellStyle name="Normal 386 3" xfId="29562" xr:uid="{00000000-0005-0000-0000-00007A730000}"/>
    <cellStyle name="Normal 386 3 2" xfId="29563" xr:uid="{00000000-0005-0000-0000-00007B730000}"/>
    <cellStyle name="Normal 386 3 2 2" xfId="29564" xr:uid="{00000000-0005-0000-0000-00007C730000}"/>
    <cellStyle name="Normal 386 3 2 2 2" xfId="29565" xr:uid="{00000000-0005-0000-0000-00007D730000}"/>
    <cellStyle name="Normal 386 3 2 3" xfId="29566" xr:uid="{00000000-0005-0000-0000-00007E730000}"/>
    <cellStyle name="Normal 386 3 2 3 2" xfId="29567" xr:uid="{00000000-0005-0000-0000-00007F730000}"/>
    <cellStyle name="Normal 386 3 2 3 2 2" xfId="29568" xr:uid="{00000000-0005-0000-0000-000080730000}"/>
    <cellStyle name="Normal 386 3 2 3 3" xfId="29569" xr:uid="{00000000-0005-0000-0000-000081730000}"/>
    <cellStyle name="Normal 386 3 2 4" xfId="29570" xr:uid="{00000000-0005-0000-0000-000082730000}"/>
    <cellStyle name="Normal 386 3 3" xfId="29571" xr:uid="{00000000-0005-0000-0000-000083730000}"/>
    <cellStyle name="Normal 386 3 3 2" xfId="29572" xr:uid="{00000000-0005-0000-0000-000084730000}"/>
    <cellStyle name="Normal 386 3 3 2 2" xfId="29573" xr:uid="{00000000-0005-0000-0000-000085730000}"/>
    <cellStyle name="Normal 386 3 3 3" xfId="29574" xr:uid="{00000000-0005-0000-0000-000086730000}"/>
    <cellStyle name="Normal 386 3 4" xfId="29575" xr:uid="{00000000-0005-0000-0000-000087730000}"/>
    <cellStyle name="Normal 386 3 4 2" xfId="29576" xr:uid="{00000000-0005-0000-0000-000088730000}"/>
    <cellStyle name="Normal 386 3 4 2 2" xfId="29577" xr:uid="{00000000-0005-0000-0000-000089730000}"/>
    <cellStyle name="Normal 386 3 4 3" xfId="29578" xr:uid="{00000000-0005-0000-0000-00008A730000}"/>
    <cellStyle name="Normal 386 3 5" xfId="29579" xr:uid="{00000000-0005-0000-0000-00008B730000}"/>
    <cellStyle name="Normal 386 3 5 2" xfId="29580" xr:uid="{00000000-0005-0000-0000-00008C730000}"/>
    <cellStyle name="Normal 386 3 5 2 2" xfId="29581" xr:uid="{00000000-0005-0000-0000-00008D730000}"/>
    <cellStyle name="Normal 386 3 5 3" xfId="29582" xr:uid="{00000000-0005-0000-0000-00008E730000}"/>
    <cellStyle name="Normal 386 3 6" xfId="29583" xr:uid="{00000000-0005-0000-0000-00008F730000}"/>
    <cellStyle name="Normal 386 4" xfId="29584" xr:uid="{00000000-0005-0000-0000-000090730000}"/>
    <cellStyle name="Normal 386 4 2" xfId="29585" xr:uid="{00000000-0005-0000-0000-000091730000}"/>
    <cellStyle name="Normal 386 4 2 2" xfId="29586" xr:uid="{00000000-0005-0000-0000-000092730000}"/>
    <cellStyle name="Normal 386 4 3" xfId="29587" xr:uid="{00000000-0005-0000-0000-000093730000}"/>
    <cellStyle name="Normal 386 5" xfId="29588" xr:uid="{00000000-0005-0000-0000-000094730000}"/>
    <cellStyle name="Normal 386 5 2" xfId="29589" xr:uid="{00000000-0005-0000-0000-000095730000}"/>
    <cellStyle name="Normal 386 5 2 2" xfId="29590" xr:uid="{00000000-0005-0000-0000-000096730000}"/>
    <cellStyle name="Normal 386 5 3" xfId="29591" xr:uid="{00000000-0005-0000-0000-000097730000}"/>
    <cellStyle name="Normal 386 6" xfId="29592" xr:uid="{00000000-0005-0000-0000-000098730000}"/>
    <cellStyle name="Normal 386 6 2" xfId="29593" xr:uid="{00000000-0005-0000-0000-000099730000}"/>
    <cellStyle name="Normal 386 6 2 2" xfId="29594" xr:uid="{00000000-0005-0000-0000-00009A730000}"/>
    <cellStyle name="Normal 386 6 3" xfId="29595" xr:uid="{00000000-0005-0000-0000-00009B730000}"/>
    <cellStyle name="Normal 386 7" xfId="29596" xr:uid="{00000000-0005-0000-0000-00009C730000}"/>
    <cellStyle name="Normal 387" xfId="29597" xr:uid="{00000000-0005-0000-0000-00009D730000}"/>
    <cellStyle name="Normal 387 2" xfId="29598" xr:uid="{00000000-0005-0000-0000-00009E730000}"/>
    <cellStyle name="Normal 387 2 2" xfId="29599" xr:uid="{00000000-0005-0000-0000-00009F730000}"/>
    <cellStyle name="Normal 387 2 2 2" xfId="29600" xr:uid="{00000000-0005-0000-0000-0000A0730000}"/>
    <cellStyle name="Normal 387 2 3" xfId="29601" xr:uid="{00000000-0005-0000-0000-0000A1730000}"/>
    <cellStyle name="Normal 387 2 3 2" xfId="29602" xr:uid="{00000000-0005-0000-0000-0000A2730000}"/>
    <cellStyle name="Normal 387 2 3 2 2" xfId="29603" xr:uid="{00000000-0005-0000-0000-0000A3730000}"/>
    <cellStyle name="Normal 387 2 3 3" xfId="29604" xr:uid="{00000000-0005-0000-0000-0000A4730000}"/>
    <cellStyle name="Normal 387 2 4" xfId="29605" xr:uid="{00000000-0005-0000-0000-0000A5730000}"/>
    <cellStyle name="Normal 387 2 4 2" xfId="29606" xr:uid="{00000000-0005-0000-0000-0000A6730000}"/>
    <cellStyle name="Normal 387 2 4 2 2" xfId="29607" xr:uid="{00000000-0005-0000-0000-0000A7730000}"/>
    <cellStyle name="Normal 387 2 4 3" xfId="29608" xr:uid="{00000000-0005-0000-0000-0000A8730000}"/>
    <cellStyle name="Normal 387 2 5" xfId="29609" xr:uid="{00000000-0005-0000-0000-0000A9730000}"/>
    <cellStyle name="Normal 387 3" xfId="29610" xr:uid="{00000000-0005-0000-0000-0000AA730000}"/>
    <cellStyle name="Normal 387 3 2" xfId="29611" xr:uid="{00000000-0005-0000-0000-0000AB730000}"/>
    <cellStyle name="Normal 387 3 2 2" xfId="29612" xr:uid="{00000000-0005-0000-0000-0000AC730000}"/>
    <cellStyle name="Normal 387 3 2 2 2" xfId="29613" xr:uid="{00000000-0005-0000-0000-0000AD730000}"/>
    <cellStyle name="Normal 387 3 2 3" xfId="29614" xr:uid="{00000000-0005-0000-0000-0000AE730000}"/>
    <cellStyle name="Normal 387 3 2 3 2" xfId="29615" xr:uid="{00000000-0005-0000-0000-0000AF730000}"/>
    <cellStyle name="Normal 387 3 2 3 2 2" xfId="29616" xr:uid="{00000000-0005-0000-0000-0000B0730000}"/>
    <cellStyle name="Normal 387 3 2 3 3" xfId="29617" xr:uid="{00000000-0005-0000-0000-0000B1730000}"/>
    <cellStyle name="Normal 387 3 2 4" xfId="29618" xr:uid="{00000000-0005-0000-0000-0000B2730000}"/>
    <cellStyle name="Normal 387 3 3" xfId="29619" xr:uid="{00000000-0005-0000-0000-0000B3730000}"/>
    <cellStyle name="Normal 387 3 3 2" xfId="29620" xr:uid="{00000000-0005-0000-0000-0000B4730000}"/>
    <cellStyle name="Normal 387 3 3 2 2" xfId="29621" xr:uid="{00000000-0005-0000-0000-0000B5730000}"/>
    <cellStyle name="Normal 387 3 3 3" xfId="29622" xr:uid="{00000000-0005-0000-0000-0000B6730000}"/>
    <cellStyle name="Normal 387 3 4" xfId="29623" xr:uid="{00000000-0005-0000-0000-0000B7730000}"/>
    <cellStyle name="Normal 387 3 4 2" xfId="29624" xr:uid="{00000000-0005-0000-0000-0000B8730000}"/>
    <cellStyle name="Normal 387 3 4 2 2" xfId="29625" xr:uid="{00000000-0005-0000-0000-0000B9730000}"/>
    <cellStyle name="Normal 387 3 4 3" xfId="29626" xr:uid="{00000000-0005-0000-0000-0000BA730000}"/>
    <cellStyle name="Normal 387 3 5" xfId="29627" xr:uid="{00000000-0005-0000-0000-0000BB730000}"/>
    <cellStyle name="Normal 387 3 5 2" xfId="29628" xr:uid="{00000000-0005-0000-0000-0000BC730000}"/>
    <cellStyle name="Normal 387 3 5 2 2" xfId="29629" xr:uid="{00000000-0005-0000-0000-0000BD730000}"/>
    <cellStyle name="Normal 387 3 5 3" xfId="29630" xr:uid="{00000000-0005-0000-0000-0000BE730000}"/>
    <cellStyle name="Normal 387 3 6" xfId="29631" xr:uid="{00000000-0005-0000-0000-0000BF730000}"/>
    <cellStyle name="Normal 387 4" xfId="29632" xr:uid="{00000000-0005-0000-0000-0000C0730000}"/>
    <cellStyle name="Normal 387 4 2" xfId="29633" xr:uid="{00000000-0005-0000-0000-0000C1730000}"/>
    <cellStyle name="Normal 387 4 2 2" xfId="29634" xr:uid="{00000000-0005-0000-0000-0000C2730000}"/>
    <cellStyle name="Normal 387 4 3" xfId="29635" xr:uid="{00000000-0005-0000-0000-0000C3730000}"/>
    <cellStyle name="Normal 387 5" xfId="29636" xr:uid="{00000000-0005-0000-0000-0000C4730000}"/>
    <cellStyle name="Normal 387 5 2" xfId="29637" xr:uid="{00000000-0005-0000-0000-0000C5730000}"/>
    <cellStyle name="Normal 387 5 2 2" xfId="29638" xr:uid="{00000000-0005-0000-0000-0000C6730000}"/>
    <cellStyle name="Normal 387 5 3" xfId="29639" xr:uid="{00000000-0005-0000-0000-0000C7730000}"/>
    <cellStyle name="Normal 387 6" xfId="29640" xr:uid="{00000000-0005-0000-0000-0000C8730000}"/>
    <cellStyle name="Normal 387 6 2" xfId="29641" xr:uid="{00000000-0005-0000-0000-0000C9730000}"/>
    <cellStyle name="Normal 387 6 2 2" xfId="29642" xr:uid="{00000000-0005-0000-0000-0000CA730000}"/>
    <cellStyle name="Normal 387 6 3" xfId="29643" xr:uid="{00000000-0005-0000-0000-0000CB730000}"/>
    <cellStyle name="Normal 387 7" xfId="29644" xr:uid="{00000000-0005-0000-0000-0000CC730000}"/>
    <cellStyle name="Normal 388" xfId="29645" xr:uid="{00000000-0005-0000-0000-0000CD730000}"/>
    <cellStyle name="Normal 388 2" xfId="29646" xr:uid="{00000000-0005-0000-0000-0000CE730000}"/>
    <cellStyle name="Normal 388 2 2" xfId="29647" xr:uid="{00000000-0005-0000-0000-0000CF730000}"/>
    <cellStyle name="Normal 388 2 2 2" xfId="29648" xr:uid="{00000000-0005-0000-0000-0000D0730000}"/>
    <cellStyle name="Normal 388 2 3" xfId="29649" xr:uid="{00000000-0005-0000-0000-0000D1730000}"/>
    <cellStyle name="Normal 388 2 3 2" xfId="29650" xr:uid="{00000000-0005-0000-0000-0000D2730000}"/>
    <cellStyle name="Normal 388 2 3 2 2" xfId="29651" xr:uid="{00000000-0005-0000-0000-0000D3730000}"/>
    <cellStyle name="Normal 388 2 3 3" xfId="29652" xr:uid="{00000000-0005-0000-0000-0000D4730000}"/>
    <cellStyle name="Normal 388 2 4" xfId="29653" xr:uid="{00000000-0005-0000-0000-0000D5730000}"/>
    <cellStyle name="Normal 388 2 4 2" xfId="29654" xr:uid="{00000000-0005-0000-0000-0000D6730000}"/>
    <cellStyle name="Normal 388 2 4 2 2" xfId="29655" xr:uid="{00000000-0005-0000-0000-0000D7730000}"/>
    <cellStyle name="Normal 388 2 4 3" xfId="29656" xr:uid="{00000000-0005-0000-0000-0000D8730000}"/>
    <cellStyle name="Normal 388 2 5" xfId="29657" xr:uid="{00000000-0005-0000-0000-0000D9730000}"/>
    <cellStyle name="Normal 388 3" xfId="29658" xr:uid="{00000000-0005-0000-0000-0000DA730000}"/>
    <cellStyle name="Normal 388 3 2" xfId="29659" xr:uid="{00000000-0005-0000-0000-0000DB730000}"/>
    <cellStyle name="Normal 388 3 2 2" xfId="29660" xr:uid="{00000000-0005-0000-0000-0000DC730000}"/>
    <cellStyle name="Normal 388 3 2 2 2" xfId="29661" xr:uid="{00000000-0005-0000-0000-0000DD730000}"/>
    <cellStyle name="Normal 388 3 2 3" xfId="29662" xr:uid="{00000000-0005-0000-0000-0000DE730000}"/>
    <cellStyle name="Normal 388 3 2 3 2" xfId="29663" xr:uid="{00000000-0005-0000-0000-0000DF730000}"/>
    <cellStyle name="Normal 388 3 2 3 2 2" xfId="29664" xr:uid="{00000000-0005-0000-0000-0000E0730000}"/>
    <cellStyle name="Normal 388 3 2 3 3" xfId="29665" xr:uid="{00000000-0005-0000-0000-0000E1730000}"/>
    <cellStyle name="Normal 388 3 2 4" xfId="29666" xr:uid="{00000000-0005-0000-0000-0000E2730000}"/>
    <cellStyle name="Normal 388 3 3" xfId="29667" xr:uid="{00000000-0005-0000-0000-0000E3730000}"/>
    <cellStyle name="Normal 388 3 3 2" xfId="29668" xr:uid="{00000000-0005-0000-0000-0000E4730000}"/>
    <cellStyle name="Normal 388 3 3 2 2" xfId="29669" xr:uid="{00000000-0005-0000-0000-0000E5730000}"/>
    <cellStyle name="Normal 388 3 3 3" xfId="29670" xr:uid="{00000000-0005-0000-0000-0000E6730000}"/>
    <cellStyle name="Normal 388 3 4" xfId="29671" xr:uid="{00000000-0005-0000-0000-0000E7730000}"/>
    <cellStyle name="Normal 388 3 4 2" xfId="29672" xr:uid="{00000000-0005-0000-0000-0000E8730000}"/>
    <cellStyle name="Normal 388 3 4 2 2" xfId="29673" xr:uid="{00000000-0005-0000-0000-0000E9730000}"/>
    <cellStyle name="Normal 388 3 4 3" xfId="29674" xr:uid="{00000000-0005-0000-0000-0000EA730000}"/>
    <cellStyle name="Normal 388 3 5" xfId="29675" xr:uid="{00000000-0005-0000-0000-0000EB730000}"/>
    <cellStyle name="Normal 388 3 5 2" xfId="29676" xr:uid="{00000000-0005-0000-0000-0000EC730000}"/>
    <cellStyle name="Normal 388 3 5 2 2" xfId="29677" xr:uid="{00000000-0005-0000-0000-0000ED730000}"/>
    <cellStyle name="Normal 388 3 5 3" xfId="29678" xr:uid="{00000000-0005-0000-0000-0000EE730000}"/>
    <cellStyle name="Normal 388 3 6" xfId="29679" xr:uid="{00000000-0005-0000-0000-0000EF730000}"/>
    <cellStyle name="Normal 388 4" xfId="29680" xr:uid="{00000000-0005-0000-0000-0000F0730000}"/>
    <cellStyle name="Normal 388 4 2" xfId="29681" xr:uid="{00000000-0005-0000-0000-0000F1730000}"/>
    <cellStyle name="Normal 388 4 2 2" xfId="29682" xr:uid="{00000000-0005-0000-0000-0000F2730000}"/>
    <cellStyle name="Normal 388 4 3" xfId="29683" xr:uid="{00000000-0005-0000-0000-0000F3730000}"/>
    <cellStyle name="Normal 388 5" xfId="29684" xr:uid="{00000000-0005-0000-0000-0000F4730000}"/>
    <cellStyle name="Normal 388 5 2" xfId="29685" xr:uid="{00000000-0005-0000-0000-0000F5730000}"/>
    <cellStyle name="Normal 388 5 2 2" xfId="29686" xr:uid="{00000000-0005-0000-0000-0000F6730000}"/>
    <cellStyle name="Normal 388 5 3" xfId="29687" xr:uid="{00000000-0005-0000-0000-0000F7730000}"/>
    <cellStyle name="Normal 388 6" xfId="29688" xr:uid="{00000000-0005-0000-0000-0000F8730000}"/>
    <cellStyle name="Normal 388 6 2" xfId="29689" xr:uid="{00000000-0005-0000-0000-0000F9730000}"/>
    <cellStyle name="Normal 388 6 2 2" xfId="29690" xr:uid="{00000000-0005-0000-0000-0000FA730000}"/>
    <cellStyle name="Normal 388 6 3" xfId="29691" xr:uid="{00000000-0005-0000-0000-0000FB730000}"/>
    <cellStyle name="Normal 388 7" xfId="29692" xr:uid="{00000000-0005-0000-0000-0000FC730000}"/>
    <cellStyle name="Normal 389" xfId="29693" xr:uid="{00000000-0005-0000-0000-0000FD730000}"/>
    <cellStyle name="Normal 389 2" xfId="29694" xr:uid="{00000000-0005-0000-0000-0000FE730000}"/>
    <cellStyle name="Normal 389 2 2" xfId="29695" xr:uid="{00000000-0005-0000-0000-0000FF730000}"/>
    <cellStyle name="Normal 389 2 2 2" xfId="29696" xr:uid="{00000000-0005-0000-0000-000000740000}"/>
    <cellStyle name="Normal 389 2 3" xfId="29697" xr:uid="{00000000-0005-0000-0000-000001740000}"/>
    <cellStyle name="Normal 389 2 3 2" xfId="29698" xr:uid="{00000000-0005-0000-0000-000002740000}"/>
    <cellStyle name="Normal 389 2 3 2 2" xfId="29699" xr:uid="{00000000-0005-0000-0000-000003740000}"/>
    <cellStyle name="Normal 389 2 3 3" xfId="29700" xr:uid="{00000000-0005-0000-0000-000004740000}"/>
    <cellStyle name="Normal 389 2 4" xfId="29701" xr:uid="{00000000-0005-0000-0000-000005740000}"/>
    <cellStyle name="Normal 389 2 4 2" xfId="29702" xr:uid="{00000000-0005-0000-0000-000006740000}"/>
    <cellStyle name="Normal 389 2 4 2 2" xfId="29703" xr:uid="{00000000-0005-0000-0000-000007740000}"/>
    <cellStyle name="Normal 389 2 4 3" xfId="29704" xr:uid="{00000000-0005-0000-0000-000008740000}"/>
    <cellStyle name="Normal 389 2 5" xfId="29705" xr:uid="{00000000-0005-0000-0000-000009740000}"/>
    <cellStyle name="Normal 389 3" xfId="29706" xr:uid="{00000000-0005-0000-0000-00000A740000}"/>
    <cellStyle name="Normal 389 3 2" xfId="29707" xr:uid="{00000000-0005-0000-0000-00000B740000}"/>
    <cellStyle name="Normal 389 3 2 2" xfId="29708" xr:uid="{00000000-0005-0000-0000-00000C740000}"/>
    <cellStyle name="Normal 389 3 2 2 2" xfId="29709" xr:uid="{00000000-0005-0000-0000-00000D740000}"/>
    <cellStyle name="Normal 389 3 2 3" xfId="29710" xr:uid="{00000000-0005-0000-0000-00000E740000}"/>
    <cellStyle name="Normal 389 3 2 3 2" xfId="29711" xr:uid="{00000000-0005-0000-0000-00000F740000}"/>
    <cellStyle name="Normal 389 3 2 3 2 2" xfId="29712" xr:uid="{00000000-0005-0000-0000-000010740000}"/>
    <cellStyle name="Normal 389 3 2 3 3" xfId="29713" xr:uid="{00000000-0005-0000-0000-000011740000}"/>
    <cellStyle name="Normal 389 3 2 4" xfId="29714" xr:uid="{00000000-0005-0000-0000-000012740000}"/>
    <cellStyle name="Normal 389 3 3" xfId="29715" xr:uid="{00000000-0005-0000-0000-000013740000}"/>
    <cellStyle name="Normal 389 3 3 2" xfId="29716" xr:uid="{00000000-0005-0000-0000-000014740000}"/>
    <cellStyle name="Normal 389 3 3 2 2" xfId="29717" xr:uid="{00000000-0005-0000-0000-000015740000}"/>
    <cellStyle name="Normal 389 3 3 3" xfId="29718" xr:uid="{00000000-0005-0000-0000-000016740000}"/>
    <cellStyle name="Normal 389 3 4" xfId="29719" xr:uid="{00000000-0005-0000-0000-000017740000}"/>
    <cellStyle name="Normal 389 3 4 2" xfId="29720" xr:uid="{00000000-0005-0000-0000-000018740000}"/>
    <cellStyle name="Normal 389 3 4 2 2" xfId="29721" xr:uid="{00000000-0005-0000-0000-000019740000}"/>
    <cellStyle name="Normal 389 3 4 3" xfId="29722" xr:uid="{00000000-0005-0000-0000-00001A740000}"/>
    <cellStyle name="Normal 389 3 5" xfId="29723" xr:uid="{00000000-0005-0000-0000-00001B740000}"/>
    <cellStyle name="Normal 389 3 5 2" xfId="29724" xr:uid="{00000000-0005-0000-0000-00001C740000}"/>
    <cellStyle name="Normal 389 3 5 2 2" xfId="29725" xr:uid="{00000000-0005-0000-0000-00001D740000}"/>
    <cellStyle name="Normal 389 3 5 3" xfId="29726" xr:uid="{00000000-0005-0000-0000-00001E740000}"/>
    <cellStyle name="Normal 389 3 6" xfId="29727" xr:uid="{00000000-0005-0000-0000-00001F740000}"/>
    <cellStyle name="Normal 389 4" xfId="29728" xr:uid="{00000000-0005-0000-0000-000020740000}"/>
    <cellStyle name="Normal 389 4 2" xfId="29729" xr:uid="{00000000-0005-0000-0000-000021740000}"/>
    <cellStyle name="Normal 389 4 2 2" xfId="29730" xr:uid="{00000000-0005-0000-0000-000022740000}"/>
    <cellStyle name="Normal 389 4 3" xfId="29731" xr:uid="{00000000-0005-0000-0000-000023740000}"/>
    <cellStyle name="Normal 389 5" xfId="29732" xr:uid="{00000000-0005-0000-0000-000024740000}"/>
    <cellStyle name="Normal 389 5 2" xfId="29733" xr:uid="{00000000-0005-0000-0000-000025740000}"/>
    <cellStyle name="Normal 389 5 2 2" xfId="29734" xr:uid="{00000000-0005-0000-0000-000026740000}"/>
    <cellStyle name="Normal 389 5 3" xfId="29735" xr:uid="{00000000-0005-0000-0000-000027740000}"/>
    <cellStyle name="Normal 389 6" xfId="29736" xr:uid="{00000000-0005-0000-0000-000028740000}"/>
    <cellStyle name="Normal 389 6 2" xfId="29737" xr:uid="{00000000-0005-0000-0000-000029740000}"/>
    <cellStyle name="Normal 389 6 2 2" xfId="29738" xr:uid="{00000000-0005-0000-0000-00002A740000}"/>
    <cellStyle name="Normal 389 6 3" xfId="29739" xr:uid="{00000000-0005-0000-0000-00002B740000}"/>
    <cellStyle name="Normal 389 7" xfId="29740" xr:uid="{00000000-0005-0000-0000-00002C740000}"/>
    <cellStyle name="Normal 39" xfId="29741" xr:uid="{00000000-0005-0000-0000-00002D740000}"/>
    <cellStyle name="Normal 39 2" xfId="29742" xr:uid="{00000000-0005-0000-0000-00002E740000}"/>
    <cellStyle name="Normal 39 2 2" xfId="29743" xr:uid="{00000000-0005-0000-0000-00002F740000}"/>
    <cellStyle name="Normal 39 2 2 2" xfId="29744" xr:uid="{00000000-0005-0000-0000-000030740000}"/>
    <cellStyle name="Normal 39 2 2 2 2" xfId="29745" xr:uid="{00000000-0005-0000-0000-000031740000}"/>
    <cellStyle name="Normal 39 2 2 3" xfId="29746" xr:uid="{00000000-0005-0000-0000-000032740000}"/>
    <cellStyle name="Normal 39 2 2 3 2" xfId="29747" xr:uid="{00000000-0005-0000-0000-000033740000}"/>
    <cellStyle name="Normal 39 2 2 3 2 2" xfId="29748" xr:uid="{00000000-0005-0000-0000-000034740000}"/>
    <cellStyle name="Normal 39 2 2 3 3" xfId="29749" xr:uid="{00000000-0005-0000-0000-000035740000}"/>
    <cellStyle name="Normal 39 2 2 4" xfId="29750" xr:uid="{00000000-0005-0000-0000-000036740000}"/>
    <cellStyle name="Normal 39 2 2 4 2" xfId="29751" xr:uid="{00000000-0005-0000-0000-000037740000}"/>
    <cellStyle name="Normal 39 2 2 4 2 2" xfId="29752" xr:uid="{00000000-0005-0000-0000-000038740000}"/>
    <cellStyle name="Normal 39 2 2 4 3" xfId="29753" xr:uid="{00000000-0005-0000-0000-000039740000}"/>
    <cellStyle name="Normal 39 2 2 5" xfId="29754" xr:uid="{00000000-0005-0000-0000-00003A740000}"/>
    <cellStyle name="Normal 39 2 3" xfId="29755" xr:uid="{00000000-0005-0000-0000-00003B740000}"/>
    <cellStyle name="Normal 39 2 3 2" xfId="29756" xr:uid="{00000000-0005-0000-0000-00003C740000}"/>
    <cellStyle name="Normal 39 2 3 2 2" xfId="29757" xr:uid="{00000000-0005-0000-0000-00003D740000}"/>
    <cellStyle name="Normal 39 2 3 3" xfId="29758" xr:uid="{00000000-0005-0000-0000-00003E740000}"/>
    <cellStyle name="Normal 39 2 4" xfId="29759" xr:uid="{00000000-0005-0000-0000-00003F740000}"/>
    <cellStyle name="Normal 39 2 4 2" xfId="29760" xr:uid="{00000000-0005-0000-0000-000040740000}"/>
    <cellStyle name="Normal 39 2 4 2 2" xfId="29761" xr:uid="{00000000-0005-0000-0000-000041740000}"/>
    <cellStyle name="Normal 39 2 4 3" xfId="29762" xr:uid="{00000000-0005-0000-0000-000042740000}"/>
    <cellStyle name="Normal 39 2 5" xfId="29763" xr:uid="{00000000-0005-0000-0000-000043740000}"/>
    <cellStyle name="Normal 39 2 5 2" xfId="29764" xr:uid="{00000000-0005-0000-0000-000044740000}"/>
    <cellStyle name="Normal 39 2 5 2 2" xfId="29765" xr:uid="{00000000-0005-0000-0000-000045740000}"/>
    <cellStyle name="Normal 39 2 5 3" xfId="29766" xr:uid="{00000000-0005-0000-0000-000046740000}"/>
    <cellStyle name="Normal 39 2 6" xfId="29767" xr:uid="{00000000-0005-0000-0000-000047740000}"/>
    <cellStyle name="Normal 39 3" xfId="29768" xr:uid="{00000000-0005-0000-0000-000048740000}"/>
    <cellStyle name="Normal 39 3 2" xfId="29769" xr:uid="{00000000-0005-0000-0000-000049740000}"/>
    <cellStyle name="Normal 39 3 2 2" xfId="29770" xr:uid="{00000000-0005-0000-0000-00004A740000}"/>
    <cellStyle name="Normal 39 3 3" xfId="29771" xr:uid="{00000000-0005-0000-0000-00004B740000}"/>
    <cellStyle name="Normal 39 3 3 2" xfId="29772" xr:uid="{00000000-0005-0000-0000-00004C740000}"/>
    <cellStyle name="Normal 39 3 3 2 2" xfId="29773" xr:uid="{00000000-0005-0000-0000-00004D740000}"/>
    <cellStyle name="Normal 39 3 3 3" xfId="29774" xr:uid="{00000000-0005-0000-0000-00004E740000}"/>
    <cellStyle name="Normal 39 3 4" xfId="29775" xr:uid="{00000000-0005-0000-0000-00004F740000}"/>
    <cellStyle name="Normal 39 3 4 2" xfId="29776" xr:uid="{00000000-0005-0000-0000-000050740000}"/>
    <cellStyle name="Normal 39 3 4 2 2" xfId="29777" xr:uid="{00000000-0005-0000-0000-000051740000}"/>
    <cellStyle name="Normal 39 3 4 3" xfId="29778" xr:uid="{00000000-0005-0000-0000-000052740000}"/>
    <cellStyle name="Normal 39 3 5" xfId="29779" xr:uid="{00000000-0005-0000-0000-000053740000}"/>
    <cellStyle name="Normal 39 4" xfId="29780" xr:uid="{00000000-0005-0000-0000-000054740000}"/>
    <cellStyle name="Normal 39 4 2" xfId="29781" xr:uid="{00000000-0005-0000-0000-000055740000}"/>
    <cellStyle name="Normal 39 4 2 2" xfId="29782" xr:uid="{00000000-0005-0000-0000-000056740000}"/>
    <cellStyle name="Normal 39 4 3" xfId="29783" xr:uid="{00000000-0005-0000-0000-000057740000}"/>
    <cellStyle name="Normal 39 5" xfId="29784" xr:uid="{00000000-0005-0000-0000-000058740000}"/>
    <cellStyle name="Normal 39 5 2" xfId="29785" xr:uid="{00000000-0005-0000-0000-000059740000}"/>
    <cellStyle name="Normal 39 5 2 2" xfId="29786" xr:uid="{00000000-0005-0000-0000-00005A740000}"/>
    <cellStyle name="Normal 39 5 3" xfId="29787" xr:uid="{00000000-0005-0000-0000-00005B740000}"/>
    <cellStyle name="Normal 39 6" xfId="29788" xr:uid="{00000000-0005-0000-0000-00005C740000}"/>
    <cellStyle name="Normal 39 6 2" xfId="29789" xr:uid="{00000000-0005-0000-0000-00005D740000}"/>
    <cellStyle name="Normal 39 6 2 2" xfId="29790" xr:uid="{00000000-0005-0000-0000-00005E740000}"/>
    <cellStyle name="Normal 39 6 3" xfId="29791" xr:uid="{00000000-0005-0000-0000-00005F740000}"/>
    <cellStyle name="Normal 39 7" xfId="29792" xr:uid="{00000000-0005-0000-0000-000060740000}"/>
    <cellStyle name="Normal 390" xfId="29793" xr:uid="{00000000-0005-0000-0000-000061740000}"/>
    <cellStyle name="Normal 390 2" xfId="29794" xr:uid="{00000000-0005-0000-0000-000062740000}"/>
    <cellStyle name="Normal 390 2 2" xfId="29795" xr:uid="{00000000-0005-0000-0000-000063740000}"/>
    <cellStyle name="Normal 390 2 2 2" xfId="29796" xr:uid="{00000000-0005-0000-0000-000064740000}"/>
    <cellStyle name="Normal 390 2 3" xfId="29797" xr:uid="{00000000-0005-0000-0000-000065740000}"/>
    <cellStyle name="Normal 390 2 3 2" xfId="29798" xr:uid="{00000000-0005-0000-0000-000066740000}"/>
    <cellStyle name="Normal 390 2 3 2 2" xfId="29799" xr:uid="{00000000-0005-0000-0000-000067740000}"/>
    <cellStyle name="Normal 390 2 3 3" xfId="29800" xr:uid="{00000000-0005-0000-0000-000068740000}"/>
    <cellStyle name="Normal 390 2 4" xfId="29801" xr:uid="{00000000-0005-0000-0000-000069740000}"/>
    <cellStyle name="Normal 390 2 4 2" xfId="29802" xr:uid="{00000000-0005-0000-0000-00006A740000}"/>
    <cellStyle name="Normal 390 2 4 2 2" xfId="29803" xr:uid="{00000000-0005-0000-0000-00006B740000}"/>
    <cellStyle name="Normal 390 2 4 3" xfId="29804" xr:uid="{00000000-0005-0000-0000-00006C740000}"/>
    <cellStyle name="Normal 390 2 5" xfId="29805" xr:uid="{00000000-0005-0000-0000-00006D740000}"/>
    <cellStyle name="Normal 390 3" xfId="29806" xr:uid="{00000000-0005-0000-0000-00006E740000}"/>
    <cellStyle name="Normal 390 3 2" xfId="29807" xr:uid="{00000000-0005-0000-0000-00006F740000}"/>
    <cellStyle name="Normal 390 3 2 2" xfId="29808" xr:uid="{00000000-0005-0000-0000-000070740000}"/>
    <cellStyle name="Normal 390 3 2 2 2" xfId="29809" xr:uid="{00000000-0005-0000-0000-000071740000}"/>
    <cellStyle name="Normal 390 3 2 3" xfId="29810" xr:uid="{00000000-0005-0000-0000-000072740000}"/>
    <cellStyle name="Normal 390 3 2 3 2" xfId="29811" xr:uid="{00000000-0005-0000-0000-000073740000}"/>
    <cellStyle name="Normal 390 3 2 3 2 2" xfId="29812" xr:uid="{00000000-0005-0000-0000-000074740000}"/>
    <cellStyle name="Normal 390 3 2 3 3" xfId="29813" xr:uid="{00000000-0005-0000-0000-000075740000}"/>
    <cellStyle name="Normal 390 3 2 4" xfId="29814" xr:uid="{00000000-0005-0000-0000-000076740000}"/>
    <cellStyle name="Normal 390 3 3" xfId="29815" xr:uid="{00000000-0005-0000-0000-000077740000}"/>
    <cellStyle name="Normal 390 3 3 2" xfId="29816" xr:uid="{00000000-0005-0000-0000-000078740000}"/>
    <cellStyle name="Normal 390 3 3 2 2" xfId="29817" xr:uid="{00000000-0005-0000-0000-000079740000}"/>
    <cellStyle name="Normal 390 3 3 3" xfId="29818" xr:uid="{00000000-0005-0000-0000-00007A740000}"/>
    <cellStyle name="Normal 390 3 4" xfId="29819" xr:uid="{00000000-0005-0000-0000-00007B740000}"/>
    <cellStyle name="Normal 390 3 4 2" xfId="29820" xr:uid="{00000000-0005-0000-0000-00007C740000}"/>
    <cellStyle name="Normal 390 3 4 2 2" xfId="29821" xr:uid="{00000000-0005-0000-0000-00007D740000}"/>
    <cellStyle name="Normal 390 3 4 3" xfId="29822" xr:uid="{00000000-0005-0000-0000-00007E740000}"/>
    <cellStyle name="Normal 390 3 5" xfId="29823" xr:uid="{00000000-0005-0000-0000-00007F740000}"/>
    <cellStyle name="Normal 390 3 5 2" xfId="29824" xr:uid="{00000000-0005-0000-0000-000080740000}"/>
    <cellStyle name="Normal 390 3 5 2 2" xfId="29825" xr:uid="{00000000-0005-0000-0000-000081740000}"/>
    <cellStyle name="Normal 390 3 5 3" xfId="29826" xr:uid="{00000000-0005-0000-0000-000082740000}"/>
    <cellStyle name="Normal 390 3 6" xfId="29827" xr:uid="{00000000-0005-0000-0000-000083740000}"/>
    <cellStyle name="Normal 390 4" xfId="29828" xr:uid="{00000000-0005-0000-0000-000084740000}"/>
    <cellStyle name="Normal 390 4 2" xfId="29829" xr:uid="{00000000-0005-0000-0000-000085740000}"/>
    <cellStyle name="Normal 390 4 2 2" xfId="29830" xr:uid="{00000000-0005-0000-0000-000086740000}"/>
    <cellStyle name="Normal 390 4 3" xfId="29831" xr:uid="{00000000-0005-0000-0000-000087740000}"/>
    <cellStyle name="Normal 390 5" xfId="29832" xr:uid="{00000000-0005-0000-0000-000088740000}"/>
    <cellStyle name="Normal 390 5 2" xfId="29833" xr:uid="{00000000-0005-0000-0000-000089740000}"/>
    <cellStyle name="Normal 390 5 2 2" xfId="29834" xr:uid="{00000000-0005-0000-0000-00008A740000}"/>
    <cellStyle name="Normal 390 5 3" xfId="29835" xr:uid="{00000000-0005-0000-0000-00008B740000}"/>
    <cellStyle name="Normal 390 6" xfId="29836" xr:uid="{00000000-0005-0000-0000-00008C740000}"/>
    <cellStyle name="Normal 390 6 2" xfId="29837" xr:uid="{00000000-0005-0000-0000-00008D740000}"/>
    <cellStyle name="Normal 390 6 2 2" xfId="29838" xr:uid="{00000000-0005-0000-0000-00008E740000}"/>
    <cellStyle name="Normal 390 6 3" xfId="29839" xr:uid="{00000000-0005-0000-0000-00008F740000}"/>
    <cellStyle name="Normal 390 7" xfId="29840" xr:uid="{00000000-0005-0000-0000-000090740000}"/>
    <cellStyle name="Normal 391" xfId="29841" xr:uid="{00000000-0005-0000-0000-000091740000}"/>
    <cellStyle name="Normal 391 2" xfId="29842" xr:uid="{00000000-0005-0000-0000-000092740000}"/>
    <cellStyle name="Normal 391 2 2" xfId="29843" xr:uid="{00000000-0005-0000-0000-000093740000}"/>
    <cellStyle name="Normal 391 2 2 2" xfId="29844" xr:uid="{00000000-0005-0000-0000-000094740000}"/>
    <cellStyle name="Normal 391 2 3" xfId="29845" xr:uid="{00000000-0005-0000-0000-000095740000}"/>
    <cellStyle name="Normal 391 2 3 2" xfId="29846" xr:uid="{00000000-0005-0000-0000-000096740000}"/>
    <cellStyle name="Normal 391 2 3 2 2" xfId="29847" xr:uid="{00000000-0005-0000-0000-000097740000}"/>
    <cellStyle name="Normal 391 2 3 3" xfId="29848" xr:uid="{00000000-0005-0000-0000-000098740000}"/>
    <cellStyle name="Normal 391 2 4" xfId="29849" xr:uid="{00000000-0005-0000-0000-000099740000}"/>
    <cellStyle name="Normal 391 2 4 2" xfId="29850" xr:uid="{00000000-0005-0000-0000-00009A740000}"/>
    <cellStyle name="Normal 391 2 4 2 2" xfId="29851" xr:uid="{00000000-0005-0000-0000-00009B740000}"/>
    <cellStyle name="Normal 391 2 4 3" xfId="29852" xr:uid="{00000000-0005-0000-0000-00009C740000}"/>
    <cellStyle name="Normal 391 2 5" xfId="29853" xr:uid="{00000000-0005-0000-0000-00009D740000}"/>
    <cellStyle name="Normal 391 3" xfId="29854" xr:uid="{00000000-0005-0000-0000-00009E740000}"/>
    <cellStyle name="Normal 391 3 2" xfId="29855" xr:uid="{00000000-0005-0000-0000-00009F740000}"/>
    <cellStyle name="Normal 391 3 2 2" xfId="29856" xr:uid="{00000000-0005-0000-0000-0000A0740000}"/>
    <cellStyle name="Normal 391 3 2 2 2" xfId="29857" xr:uid="{00000000-0005-0000-0000-0000A1740000}"/>
    <cellStyle name="Normal 391 3 2 3" xfId="29858" xr:uid="{00000000-0005-0000-0000-0000A2740000}"/>
    <cellStyle name="Normal 391 3 2 3 2" xfId="29859" xr:uid="{00000000-0005-0000-0000-0000A3740000}"/>
    <cellStyle name="Normal 391 3 2 3 2 2" xfId="29860" xr:uid="{00000000-0005-0000-0000-0000A4740000}"/>
    <cellStyle name="Normal 391 3 2 3 3" xfId="29861" xr:uid="{00000000-0005-0000-0000-0000A5740000}"/>
    <cellStyle name="Normal 391 3 2 4" xfId="29862" xr:uid="{00000000-0005-0000-0000-0000A6740000}"/>
    <cellStyle name="Normal 391 3 3" xfId="29863" xr:uid="{00000000-0005-0000-0000-0000A7740000}"/>
    <cellStyle name="Normal 391 3 3 2" xfId="29864" xr:uid="{00000000-0005-0000-0000-0000A8740000}"/>
    <cellStyle name="Normal 391 3 3 2 2" xfId="29865" xr:uid="{00000000-0005-0000-0000-0000A9740000}"/>
    <cellStyle name="Normal 391 3 3 3" xfId="29866" xr:uid="{00000000-0005-0000-0000-0000AA740000}"/>
    <cellStyle name="Normal 391 3 4" xfId="29867" xr:uid="{00000000-0005-0000-0000-0000AB740000}"/>
    <cellStyle name="Normal 391 3 4 2" xfId="29868" xr:uid="{00000000-0005-0000-0000-0000AC740000}"/>
    <cellStyle name="Normal 391 3 4 2 2" xfId="29869" xr:uid="{00000000-0005-0000-0000-0000AD740000}"/>
    <cellStyle name="Normal 391 3 4 3" xfId="29870" xr:uid="{00000000-0005-0000-0000-0000AE740000}"/>
    <cellStyle name="Normal 391 3 5" xfId="29871" xr:uid="{00000000-0005-0000-0000-0000AF740000}"/>
    <cellStyle name="Normal 391 3 5 2" xfId="29872" xr:uid="{00000000-0005-0000-0000-0000B0740000}"/>
    <cellStyle name="Normal 391 3 5 2 2" xfId="29873" xr:uid="{00000000-0005-0000-0000-0000B1740000}"/>
    <cellStyle name="Normal 391 3 5 3" xfId="29874" xr:uid="{00000000-0005-0000-0000-0000B2740000}"/>
    <cellStyle name="Normal 391 3 6" xfId="29875" xr:uid="{00000000-0005-0000-0000-0000B3740000}"/>
    <cellStyle name="Normal 391 4" xfId="29876" xr:uid="{00000000-0005-0000-0000-0000B4740000}"/>
    <cellStyle name="Normal 391 4 2" xfId="29877" xr:uid="{00000000-0005-0000-0000-0000B5740000}"/>
    <cellStyle name="Normal 391 4 2 2" xfId="29878" xr:uid="{00000000-0005-0000-0000-0000B6740000}"/>
    <cellStyle name="Normal 391 4 3" xfId="29879" xr:uid="{00000000-0005-0000-0000-0000B7740000}"/>
    <cellStyle name="Normal 391 5" xfId="29880" xr:uid="{00000000-0005-0000-0000-0000B8740000}"/>
    <cellStyle name="Normal 391 5 2" xfId="29881" xr:uid="{00000000-0005-0000-0000-0000B9740000}"/>
    <cellStyle name="Normal 391 5 2 2" xfId="29882" xr:uid="{00000000-0005-0000-0000-0000BA740000}"/>
    <cellStyle name="Normal 391 5 3" xfId="29883" xr:uid="{00000000-0005-0000-0000-0000BB740000}"/>
    <cellStyle name="Normal 391 6" xfId="29884" xr:uid="{00000000-0005-0000-0000-0000BC740000}"/>
    <cellStyle name="Normal 391 6 2" xfId="29885" xr:uid="{00000000-0005-0000-0000-0000BD740000}"/>
    <cellStyle name="Normal 391 6 2 2" xfId="29886" xr:uid="{00000000-0005-0000-0000-0000BE740000}"/>
    <cellStyle name="Normal 391 6 3" xfId="29887" xr:uid="{00000000-0005-0000-0000-0000BF740000}"/>
    <cellStyle name="Normal 391 7" xfId="29888" xr:uid="{00000000-0005-0000-0000-0000C0740000}"/>
    <cellStyle name="Normal 392" xfId="29889" xr:uid="{00000000-0005-0000-0000-0000C1740000}"/>
    <cellStyle name="Normal 392 2" xfId="29890" xr:uid="{00000000-0005-0000-0000-0000C2740000}"/>
    <cellStyle name="Normal 392 2 2" xfId="29891" xr:uid="{00000000-0005-0000-0000-0000C3740000}"/>
    <cellStyle name="Normal 392 2 2 2" xfId="29892" xr:uid="{00000000-0005-0000-0000-0000C4740000}"/>
    <cellStyle name="Normal 392 2 3" xfId="29893" xr:uid="{00000000-0005-0000-0000-0000C5740000}"/>
    <cellStyle name="Normal 392 2 3 2" xfId="29894" xr:uid="{00000000-0005-0000-0000-0000C6740000}"/>
    <cellStyle name="Normal 392 2 3 2 2" xfId="29895" xr:uid="{00000000-0005-0000-0000-0000C7740000}"/>
    <cellStyle name="Normal 392 2 3 3" xfId="29896" xr:uid="{00000000-0005-0000-0000-0000C8740000}"/>
    <cellStyle name="Normal 392 2 4" xfId="29897" xr:uid="{00000000-0005-0000-0000-0000C9740000}"/>
    <cellStyle name="Normal 392 2 4 2" xfId="29898" xr:uid="{00000000-0005-0000-0000-0000CA740000}"/>
    <cellStyle name="Normal 392 2 4 2 2" xfId="29899" xr:uid="{00000000-0005-0000-0000-0000CB740000}"/>
    <cellStyle name="Normal 392 2 4 3" xfId="29900" xr:uid="{00000000-0005-0000-0000-0000CC740000}"/>
    <cellStyle name="Normal 392 2 5" xfId="29901" xr:uid="{00000000-0005-0000-0000-0000CD740000}"/>
    <cellStyle name="Normal 392 3" xfId="29902" xr:uid="{00000000-0005-0000-0000-0000CE740000}"/>
    <cellStyle name="Normal 392 3 2" xfId="29903" xr:uid="{00000000-0005-0000-0000-0000CF740000}"/>
    <cellStyle name="Normal 392 3 2 2" xfId="29904" xr:uid="{00000000-0005-0000-0000-0000D0740000}"/>
    <cellStyle name="Normal 392 3 2 2 2" xfId="29905" xr:uid="{00000000-0005-0000-0000-0000D1740000}"/>
    <cellStyle name="Normal 392 3 2 3" xfId="29906" xr:uid="{00000000-0005-0000-0000-0000D2740000}"/>
    <cellStyle name="Normal 392 3 2 3 2" xfId="29907" xr:uid="{00000000-0005-0000-0000-0000D3740000}"/>
    <cellStyle name="Normal 392 3 2 3 2 2" xfId="29908" xr:uid="{00000000-0005-0000-0000-0000D4740000}"/>
    <cellStyle name="Normal 392 3 2 3 3" xfId="29909" xr:uid="{00000000-0005-0000-0000-0000D5740000}"/>
    <cellStyle name="Normal 392 3 2 4" xfId="29910" xr:uid="{00000000-0005-0000-0000-0000D6740000}"/>
    <cellStyle name="Normal 392 3 3" xfId="29911" xr:uid="{00000000-0005-0000-0000-0000D7740000}"/>
    <cellStyle name="Normal 392 3 3 2" xfId="29912" xr:uid="{00000000-0005-0000-0000-0000D8740000}"/>
    <cellStyle name="Normal 392 3 3 2 2" xfId="29913" xr:uid="{00000000-0005-0000-0000-0000D9740000}"/>
    <cellStyle name="Normal 392 3 3 3" xfId="29914" xr:uid="{00000000-0005-0000-0000-0000DA740000}"/>
    <cellStyle name="Normal 392 3 4" xfId="29915" xr:uid="{00000000-0005-0000-0000-0000DB740000}"/>
    <cellStyle name="Normal 392 3 4 2" xfId="29916" xr:uid="{00000000-0005-0000-0000-0000DC740000}"/>
    <cellStyle name="Normal 392 3 4 2 2" xfId="29917" xr:uid="{00000000-0005-0000-0000-0000DD740000}"/>
    <cellStyle name="Normal 392 3 4 3" xfId="29918" xr:uid="{00000000-0005-0000-0000-0000DE740000}"/>
    <cellStyle name="Normal 392 3 5" xfId="29919" xr:uid="{00000000-0005-0000-0000-0000DF740000}"/>
    <cellStyle name="Normal 392 3 5 2" xfId="29920" xr:uid="{00000000-0005-0000-0000-0000E0740000}"/>
    <cellStyle name="Normal 392 3 5 2 2" xfId="29921" xr:uid="{00000000-0005-0000-0000-0000E1740000}"/>
    <cellStyle name="Normal 392 3 5 3" xfId="29922" xr:uid="{00000000-0005-0000-0000-0000E2740000}"/>
    <cellStyle name="Normal 392 3 6" xfId="29923" xr:uid="{00000000-0005-0000-0000-0000E3740000}"/>
    <cellStyle name="Normal 392 4" xfId="29924" xr:uid="{00000000-0005-0000-0000-0000E4740000}"/>
    <cellStyle name="Normal 392 4 2" xfId="29925" xr:uid="{00000000-0005-0000-0000-0000E5740000}"/>
    <cellStyle name="Normal 392 4 2 2" xfId="29926" xr:uid="{00000000-0005-0000-0000-0000E6740000}"/>
    <cellStyle name="Normal 392 4 3" xfId="29927" xr:uid="{00000000-0005-0000-0000-0000E7740000}"/>
    <cellStyle name="Normal 392 5" xfId="29928" xr:uid="{00000000-0005-0000-0000-0000E8740000}"/>
    <cellStyle name="Normal 392 5 2" xfId="29929" xr:uid="{00000000-0005-0000-0000-0000E9740000}"/>
    <cellStyle name="Normal 392 5 2 2" xfId="29930" xr:uid="{00000000-0005-0000-0000-0000EA740000}"/>
    <cellStyle name="Normal 392 5 3" xfId="29931" xr:uid="{00000000-0005-0000-0000-0000EB740000}"/>
    <cellStyle name="Normal 392 6" xfId="29932" xr:uid="{00000000-0005-0000-0000-0000EC740000}"/>
    <cellStyle name="Normal 392 6 2" xfId="29933" xr:uid="{00000000-0005-0000-0000-0000ED740000}"/>
    <cellStyle name="Normal 392 6 2 2" xfId="29934" xr:uid="{00000000-0005-0000-0000-0000EE740000}"/>
    <cellStyle name="Normal 392 6 3" xfId="29935" xr:uid="{00000000-0005-0000-0000-0000EF740000}"/>
    <cellStyle name="Normal 392 7" xfId="29936" xr:uid="{00000000-0005-0000-0000-0000F0740000}"/>
    <cellStyle name="Normal 393" xfId="29937" xr:uid="{00000000-0005-0000-0000-0000F1740000}"/>
    <cellStyle name="Normal 393 2" xfId="29938" xr:uid="{00000000-0005-0000-0000-0000F2740000}"/>
    <cellStyle name="Normal 393 2 2" xfId="29939" xr:uid="{00000000-0005-0000-0000-0000F3740000}"/>
    <cellStyle name="Normal 393 2 2 2" xfId="29940" xr:uid="{00000000-0005-0000-0000-0000F4740000}"/>
    <cellStyle name="Normal 393 2 3" xfId="29941" xr:uid="{00000000-0005-0000-0000-0000F5740000}"/>
    <cellStyle name="Normal 393 2 3 2" xfId="29942" xr:uid="{00000000-0005-0000-0000-0000F6740000}"/>
    <cellStyle name="Normal 393 2 3 2 2" xfId="29943" xr:uid="{00000000-0005-0000-0000-0000F7740000}"/>
    <cellStyle name="Normal 393 2 3 3" xfId="29944" xr:uid="{00000000-0005-0000-0000-0000F8740000}"/>
    <cellStyle name="Normal 393 2 4" xfId="29945" xr:uid="{00000000-0005-0000-0000-0000F9740000}"/>
    <cellStyle name="Normal 393 2 4 2" xfId="29946" xr:uid="{00000000-0005-0000-0000-0000FA740000}"/>
    <cellStyle name="Normal 393 2 4 2 2" xfId="29947" xr:uid="{00000000-0005-0000-0000-0000FB740000}"/>
    <cellStyle name="Normal 393 2 4 3" xfId="29948" xr:uid="{00000000-0005-0000-0000-0000FC740000}"/>
    <cellStyle name="Normal 393 2 5" xfId="29949" xr:uid="{00000000-0005-0000-0000-0000FD740000}"/>
    <cellStyle name="Normal 393 3" xfId="29950" xr:uid="{00000000-0005-0000-0000-0000FE740000}"/>
    <cellStyle name="Normal 393 3 2" xfId="29951" xr:uid="{00000000-0005-0000-0000-0000FF740000}"/>
    <cellStyle name="Normal 393 3 2 2" xfId="29952" xr:uid="{00000000-0005-0000-0000-000000750000}"/>
    <cellStyle name="Normal 393 3 2 2 2" xfId="29953" xr:uid="{00000000-0005-0000-0000-000001750000}"/>
    <cellStyle name="Normal 393 3 2 3" xfId="29954" xr:uid="{00000000-0005-0000-0000-000002750000}"/>
    <cellStyle name="Normal 393 3 2 3 2" xfId="29955" xr:uid="{00000000-0005-0000-0000-000003750000}"/>
    <cellStyle name="Normal 393 3 2 3 2 2" xfId="29956" xr:uid="{00000000-0005-0000-0000-000004750000}"/>
    <cellStyle name="Normal 393 3 2 3 3" xfId="29957" xr:uid="{00000000-0005-0000-0000-000005750000}"/>
    <cellStyle name="Normal 393 3 2 4" xfId="29958" xr:uid="{00000000-0005-0000-0000-000006750000}"/>
    <cellStyle name="Normal 393 3 3" xfId="29959" xr:uid="{00000000-0005-0000-0000-000007750000}"/>
    <cellStyle name="Normal 393 3 3 2" xfId="29960" xr:uid="{00000000-0005-0000-0000-000008750000}"/>
    <cellStyle name="Normal 393 3 3 2 2" xfId="29961" xr:uid="{00000000-0005-0000-0000-000009750000}"/>
    <cellStyle name="Normal 393 3 3 3" xfId="29962" xr:uid="{00000000-0005-0000-0000-00000A750000}"/>
    <cellStyle name="Normal 393 3 4" xfId="29963" xr:uid="{00000000-0005-0000-0000-00000B750000}"/>
    <cellStyle name="Normal 393 3 4 2" xfId="29964" xr:uid="{00000000-0005-0000-0000-00000C750000}"/>
    <cellStyle name="Normal 393 3 4 2 2" xfId="29965" xr:uid="{00000000-0005-0000-0000-00000D750000}"/>
    <cellStyle name="Normal 393 3 4 3" xfId="29966" xr:uid="{00000000-0005-0000-0000-00000E750000}"/>
    <cellStyle name="Normal 393 3 5" xfId="29967" xr:uid="{00000000-0005-0000-0000-00000F750000}"/>
    <cellStyle name="Normal 393 3 5 2" xfId="29968" xr:uid="{00000000-0005-0000-0000-000010750000}"/>
    <cellStyle name="Normal 393 3 5 2 2" xfId="29969" xr:uid="{00000000-0005-0000-0000-000011750000}"/>
    <cellStyle name="Normal 393 3 5 3" xfId="29970" xr:uid="{00000000-0005-0000-0000-000012750000}"/>
    <cellStyle name="Normal 393 3 6" xfId="29971" xr:uid="{00000000-0005-0000-0000-000013750000}"/>
    <cellStyle name="Normal 393 4" xfId="29972" xr:uid="{00000000-0005-0000-0000-000014750000}"/>
    <cellStyle name="Normal 393 4 2" xfId="29973" xr:uid="{00000000-0005-0000-0000-000015750000}"/>
    <cellStyle name="Normal 393 4 2 2" xfId="29974" xr:uid="{00000000-0005-0000-0000-000016750000}"/>
    <cellStyle name="Normal 393 4 3" xfId="29975" xr:uid="{00000000-0005-0000-0000-000017750000}"/>
    <cellStyle name="Normal 393 5" xfId="29976" xr:uid="{00000000-0005-0000-0000-000018750000}"/>
    <cellStyle name="Normal 393 5 2" xfId="29977" xr:uid="{00000000-0005-0000-0000-000019750000}"/>
    <cellStyle name="Normal 393 5 2 2" xfId="29978" xr:uid="{00000000-0005-0000-0000-00001A750000}"/>
    <cellStyle name="Normal 393 5 3" xfId="29979" xr:uid="{00000000-0005-0000-0000-00001B750000}"/>
    <cellStyle name="Normal 393 6" xfId="29980" xr:uid="{00000000-0005-0000-0000-00001C750000}"/>
    <cellStyle name="Normal 393 6 2" xfId="29981" xr:uid="{00000000-0005-0000-0000-00001D750000}"/>
    <cellStyle name="Normal 393 6 2 2" xfId="29982" xr:uid="{00000000-0005-0000-0000-00001E750000}"/>
    <cellStyle name="Normal 393 6 3" xfId="29983" xr:uid="{00000000-0005-0000-0000-00001F750000}"/>
    <cellStyle name="Normal 393 7" xfId="29984" xr:uid="{00000000-0005-0000-0000-000020750000}"/>
    <cellStyle name="Normal 394" xfId="29985" xr:uid="{00000000-0005-0000-0000-000021750000}"/>
    <cellStyle name="Normal 394 2" xfId="29986" xr:uid="{00000000-0005-0000-0000-000022750000}"/>
    <cellStyle name="Normal 394 2 2" xfId="29987" xr:uid="{00000000-0005-0000-0000-000023750000}"/>
    <cellStyle name="Normal 394 2 2 2" xfId="29988" xr:uid="{00000000-0005-0000-0000-000024750000}"/>
    <cellStyle name="Normal 394 2 3" xfId="29989" xr:uid="{00000000-0005-0000-0000-000025750000}"/>
    <cellStyle name="Normal 394 2 3 2" xfId="29990" xr:uid="{00000000-0005-0000-0000-000026750000}"/>
    <cellStyle name="Normal 394 2 3 2 2" xfId="29991" xr:uid="{00000000-0005-0000-0000-000027750000}"/>
    <cellStyle name="Normal 394 2 3 3" xfId="29992" xr:uid="{00000000-0005-0000-0000-000028750000}"/>
    <cellStyle name="Normal 394 2 4" xfId="29993" xr:uid="{00000000-0005-0000-0000-000029750000}"/>
    <cellStyle name="Normal 394 2 4 2" xfId="29994" xr:uid="{00000000-0005-0000-0000-00002A750000}"/>
    <cellStyle name="Normal 394 2 4 2 2" xfId="29995" xr:uid="{00000000-0005-0000-0000-00002B750000}"/>
    <cellStyle name="Normal 394 2 4 3" xfId="29996" xr:uid="{00000000-0005-0000-0000-00002C750000}"/>
    <cellStyle name="Normal 394 2 5" xfId="29997" xr:uid="{00000000-0005-0000-0000-00002D750000}"/>
    <cellStyle name="Normal 394 3" xfId="29998" xr:uid="{00000000-0005-0000-0000-00002E750000}"/>
    <cellStyle name="Normal 394 3 2" xfId="29999" xr:uid="{00000000-0005-0000-0000-00002F750000}"/>
    <cellStyle name="Normal 394 3 2 2" xfId="30000" xr:uid="{00000000-0005-0000-0000-000030750000}"/>
    <cellStyle name="Normal 394 3 2 2 2" xfId="30001" xr:uid="{00000000-0005-0000-0000-000031750000}"/>
    <cellStyle name="Normal 394 3 2 3" xfId="30002" xr:uid="{00000000-0005-0000-0000-000032750000}"/>
    <cellStyle name="Normal 394 3 2 3 2" xfId="30003" xr:uid="{00000000-0005-0000-0000-000033750000}"/>
    <cellStyle name="Normal 394 3 2 3 2 2" xfId="30004" xr:uid="{00000000-0005-0000-0000-000034750000}"/>
    <cellStyle name="Normal 394 3 2 3 3" xfId="30005" xr:uid="{00000000-0005-0000-0000-000035750000}"/>
    <cellStyle name="Normal 394 3 2 4" xfId="30006" xr:uid="{00000000-0005-0000-0000-000036750000}"/>
    <cellStyle name="Normal 394 3 3" xfId="30007" xr:uid="{00000000-0005-0000-0000-000037750000}"/>
    <cellStyle name="Normal 394 3 3 2" xfId="30008" xr:uid="{00000000-0005-0000-0000-000038750000}"/>
    <cellStyle name="Normal 394 3 3 2 2" xfId="30009" xr:uid="{00000000-0005-0000-0000-000039750000}"/>
    <cellStyle name="Normal 394 3 3 3" xfId="30010" xr:uid="{00000000-0005-0000-0000-00003A750000}"/>
    <cellStyle name="Normal 394 3 4" xfId="30011" xr:uid="{00000000-0005-0000-0000-00003B750000}"/>
    <cellStyle name="Normal 394 3 4 2" xfId="30012" xr:uid="{00000000-0005-0000-0000-00003C750000}"/>
    <cellStyle name="Normal 394 3 4 2 2" xfId="30013" xr:uid="{00000000-0005-0000-0000-00003D750000}"/>
    <cellStyle name="Normal 394 3 4 3" xfId="30014" xr:uid="{00000000-0005-0000-0000-00003E750000}"/>
    <cellStyle name="Normal 394 3 5" xfId="30015" xr:uid="{00000000-0005-0000-0000-00003F750000}"/>
    <cellStyle name="Normal 394 3 5 2" xfId="30016" xr:uid="{00000000-0005-0000-0000-000040750000}"/>
    <cellStyle name="Normal 394 3 5 2 2" xfId="30017" xr:uid="{00000000-0005-0000-0000-000041750000}"/>
    <cellStyle name="Normal 394 3 5 3" xfId="30018" xr:uid="{00000000-0005-0000-0000-000042750000}"/>
    <cellStyle name="Normal 394 3 6" xfId="30019" xr:uid="{00000000-0005-0000-0000-000043750000}"/>
    <cellStyle name="Normal 394 4" xfId="30020" xr:uid="{00000000-0005-0000-0000-000044750000}"/>
    <cellStyle name="Normal 394 4 2" xfId="30021" xr:uid="{00000000-0005-0000-0000-000045750000}"/>
    <cellStyle name="Normal 394 4 2 2" xfId="30022" xr:uid="{00000000-0005-0000-0000-000046750000}"/>
    <cellStyle name="Normal 394 4 3" xfId="30023" xr:uid="{00000000-0005-0000-0000-000047750000}"/>
    <cellStyle name="Normal 394 5" xfId="30024" xr:uid="{00000000-0005-0000-0000-000048750000}"/>
    <cellStyle name="Normal 394 5 2" xfId="30025" xr:uid="{00000000-0005-0000-0000-000049750000}"/>
    <cellStyle name="Normal 394 5 2 2" xfId="30026" xr:uid="{00000000-0005-0000-0000-00004A750000}"/>
    <cellStyle name="Normal 394 5 3" xfId="30027" xr:uid="{00000000-0005-0000-0000-00004B750000}"/>
    <cellStyle name="Normal 394 6" xfId="30028" xr:uid="{00000000-0005-0000-0000-00004C750000}"/>
    <cellStyle name="Normal 394 6 2" xfId="30029" xr:uid="{00000000-0005-0000-0000-00004D750000}"/>
    <cellStyle name="Normal 394 6 2 2" xfId="30030" xr:uid="{00000000-0005-0000-0000-00004E750000}"/>
    <cellStyle name="Normal 394 6 3" xfId="30031" xr:uid="{00000000-0005-0000-0000-00004F750000}"/>
    <cellStyle name="Normal 394 7" xfId="30032" xr:uid="{00000000-0005-0000-0000-000050750000}"/>
    <cellStyle name="Normal 395" xfId="30033" xr:uid="{00000000-0005-0000-0000-000051750000}"/>
    <cellStyle name="Normal 395 2" xfId="30034" xr:uid="{00000000-0005-0000-0000-000052750000}"/>
    <cellStyle name="Normal 395 2 2" xfId="30035" xr:uid="{00000000-0005-0000-0000-000053750000}"/>
    <cellStyle name="Normal 395 2 2 2" xfId="30036" xr:uid="{00000000-0005-0000-0000-000054750000}"/>
    <cellStyle name="Normal 395 2 3" xfId="30037" xr:uid="{00000000-0005-0000-0000-000055750000}"/>
    <cellStyle name="Normal 395 2 3 2" xfId="30038" xr:uid="{00000000-0005-0000-0000-000056750000}"/>
    <cellStyle name="Normal 395 2 3 2 2" xfId="30039" xr:uid="{00000000-0005-0000-0000-000057750000}"/>
    <cellStyle name="Normal 395 2 3 3" xfId="30040" xr:uid="{00000000-0005-0000-0000-000058750000}"/>
    <cellStyle name="Normal 395 2 4" xfId="30041" xr:uid="{00000000-0005-0000-0000-000059750000}"/>
    <cellStyle name="Normal 395 2 4 2" xfId="30042" xr:uid="{00000000-0005-0000-0000-00005A750000}"/>
    <cellStyle name="Normal 395 2 4 2 2" xfId="30043" xr:uid="{00000000-0005-0000-0000-00005B750000}"/>
    <cellStyle name="Normal 395 2 4 3" xfId="30044" xr:uid="{00000000-0005-0000-0000-00005C750000}"/>
    <cellStyle name="Normal 395 2 5" xfId="30045" xr:uid="{00000000-0005-0000-0000-00005D750000}"/>
    <cellStyle name="Normal 395 3" xfId="30046" xr:uid="{00000000-0005-0000-0000-00005E750000}"/>
    <cellStyle name="Normal 395 3 2" xfId="30047" xr:uid="{00000000-0005-0000-0000-00005F750000}"/>
    <cellStyle name="Normal 395 3 2 2" xfId="30048" xr:uid="{00000000-0005-0000-0000-000060750000}"/>
    <cellStyle name="Normal 395 3 2 2 2" xfId="30049" xr:uid="{00000000-0005-0000-0000-000061750000}"/>
    <cellStyle name="Normal 395 3 2 3" xfId="30050" xr:uid="{00000000-0005-0000-0000-000062750000}"/>
    <cellStyle name="Normal 395 3 2 3 2" xfId="30051" xr:uid="{00000000-0005-0000-0000-000063750000}"/>
    <cellStyle name="Normal 395 3 2 3 2 2" xfId="30052" xr:uid="{00000000-0005-0000-0000-000064750000}"/>
    <cellStyle name="Normal 395 3 2 3 3" xfId="30053" xr:uid="{00000000-0005-0000-0000-000065750000}"/>
    <cellStyle name="Normal 395 3 2 4" xfId="30054" xr:uid="{00000000-0005-0000-0000-000066750000}"/>
    <cellStyle name="Normal 395 3 3" xfId="30055" xr:uid="{00000000-0005-0000-0000-000067750000}"/>
    <cellStyle name="Normal 395 3 3 2" xfId="30056" xr:uid="{00000000-0005-0000-0000-000068750000}"/>
    <cellStyle name="Normal 395 3 3 2 2" xfId="30057" xr:uid="{00000000-0005-0000-0000-000069750000}"/>
    <cellStyle name="Normal 395 3 3 3" xfId="30058" xr:uid="{00000000-0005-0000-0000-00006A750000}"/>
    <cellStyle name="Normal 395 3 4" xfId="30059" xr:uid="{00000000-0005-0000-0000-00006B750000}"/>
    <cellStyle name="Normal 395 3 4 2" xfId="30060" xr:uid="{00000000-0005-0000-0000-00006C750000}"/>
    <cellStyle name="Normal 395 3 4 2 2" xfId="30061" xr:uid="{00000000-0005-0000-0000-00006D750000}"/>
    <cellStyle name="Normal 395 3 4 3" xfId="30062" xr:uid="{00000000-0005-0000-0000-00006E750000}"/>
    <cellStyle name="Normal 395 3 5" xfId="30063" xr:uid="{00000000-0005-0000-0000-00006F750000}"/>
    <cellStyle name="Normal 395 3 5 2" xfId="30064" xr:uid="{00000000-0005-0000-0000-000070750000}"/>
    <cellStyle name="Normal 395 3 5 2 2" xfId="30065" xr:uid="{00000000-0005-0000-0000-000071750000}"/>
    <cellStyle name="Normal 395 3 5 3" xfId="30066" xr:uid="{00000000-0005-0000-0000-000072750000}"/>
    <cellStyle name="Normal 395 3 6" xfId="30067" xr:uid="{00000000-0005-0000-0000-000073750000}"/>
    <cellStyle name="Normal 395 4" xfId="30068" xr:uid="{00000000-0005-0000-0000-000074750000}"/>
    <cellStyle name="Normal 395 4 2" xfId="30069" xr:uid="{00000000-0005-0000-0000-000075750000}"/>
    <cellStyle name="Normal 395 4 2 2" xfId="30070" xr:uid="{00000000-0005-0000-0000-000076750000}"/>
    <cellStyle name="Normal 395 4 3" xfId="30071" xr:uid="{00000000-0005-0000-0000-000077750000}"/>
    <cellStyle name="Normal 395 5" xfId="30072" xr:uid="{00000000-0005-0000-0000-000078750000}"/>
    <cellStyle name="Normal 395 5 2" xfId="30073" xr:uid="{00000000-0005-0000-0000-000079750000}"/>
    <cellStyle name="Normal 395 5 2 2" xfId="30074" xr:uid="{00000000-0005-0000-0000-00007A750000}"/>
    <cellStyle name="Normal 395 5 3" xfId="30075" xr:uid="{00000000-0005-0000-0000-00007B750000}"/>
    <cellStyle name="Normal 395 6" xfId="30076" xr:uid="{00000000-0005-0000-0000-00007C750000}"/>
    <cellStyle name="Normal 395 6 2" xfId="30077" xr:uid="{00000000-0005-0000-0000-00007D750000}"/>
    <cellStyle name="Normal 395 6 2 2" xfId="30078" xr:uid="{00000000-0005-0000-0000-00007E750000}"/>
    <cellStyle name="Normal 395 6 3" xfId="30079" xr:uid="{00000000-0005-0000-0000-00007F750000}"/>
    <cellStyle name="Normal 395 7" xfId="30080" xr:uid="{00000000-0005-0000-0000-000080750000}"/>
    <cellStyle name="Normal 396" xfId="30081" xr:uid="{00000000-0005-0000-0000-000081750000}"/>
    <cellStyle name="Normal 396 2" xfId="30082" xr:uid="{00000000-0005-0000-0000-000082750000}"/>
    <cellStyle name="Normal 396 2 2" xfId="30083" xr:uid="{00000000-0005-0000-0000-000083750000}"/>
    <cellStyle name="Normal 396 2 2 2" xfId="30084" xr:uid="{00000000-0005-0000-0000-000084750000}"/>
    <cellStyle name="Normal 396 2 3" xfId="30085" xr:uid="{00000000-0005-0000-0000-000085750000}"/>
    <cellStyle name="Normal 396 2 3 2" xfId="30086" xr:uid="{00000000-0005-0000-0000-000086750000}"/>
    <cellStyle name="Normal 396 2 3 2 2" xfId="30087" xr:uid="{00000000-0005-0000-0000-000087750000}"/>
    <cellStyle name="Normal 396 2 3 3" xfId="30088" xr:uid="{00000000-0005-0000-0000-000088750000}"/>
    <cellStyle name="Normal 396 2 4" xfId="30089" xr:uid="{00000000-0005-0000-0000-000089750000}"/>
    <cellStyle name="Normal 396 2 4 2" xfId="30090" xr:uid="{00000000-0005-0000-0000-00008A750000}"/>
    <cellStyle name="Normal 396 2 4 2 2" xfId="30091" xr:uid="{00000000-0005-0000-0000-00008B750000}"/>
    <cellStyle name="Normal 396 2 4 3" xfId="30092" xr:uid="{00000000-0005-0000-0000-00008C750000}"/>
    <cellStyle name="Normal 396 2 5" xfId="30093" xr:uid="{00000000-0005-0000-0000-00008D750000}"/>
    <cellStyle name="Normal 396 3" xfId="30094" xr:uid="{00000000-0005-0000-0000-00008E750000}"/>
    <cellStyle name="Normal 396 3 2" xfId="30095" xr:uid="{00000000-0005-0000-0000-00008F750000}"/>
    <cellStyle name="Normal 396 3 2 2" xfId="30096" xr:uid="{00000000-0005-0000-0000-000090750000}"/>
    <cellStyle name="Normal 396 3 2 2 2" xfId="30097" xr:uid="{00000000-0005-0000-0000-000091750000}"/>
    <cellStyle name="Normal 396 3 2 3" xfId="30098" xr:uid="{00000000-0005-0000-0000-000092750000}"/>
    <cellStyle name="Normal 396 3 2 3 2" xfId="30099" xr:uid="{00000000-0005-0000-0000-000093750000}"/>
    <cellStyle name="Normal 396 3 2 3 2 2" xfId="30100" xr:uid="{00000000-0005-0000-0000-000094750000}"/>
    <cellStyle name="Normal 396 3 2 3 3" xfId="30101" xr:uid="{00000000-0005-0000-0000-000095750000}"/>
    <cellStyle name="Normal 396 3 2 4" xfId="30102" xr:uid="{00000000-0005-0000-0000-000096750000}"/>
    <cellStyle name="Normal 396 3 3" xfId="30103" xr:uid="{00000000-0005-0000-0000-000097750000}"/>
    <cellStyle name="Normal 396 3 3 2" xfId="30104" xr:uid="{00000000-0005-0000-0000-000098750000}"/>
    <cellStyle name="Normal 396 3 3 2 2" xfId="30105" xr:uid="{00000000-0005-0000-0000-000099750000}"/>
    <cellStyle name="Normal 396 3 3 3" xfId="30106" xr:uid="{00000000-0005-0000-0000-00009A750000}"/>
    <cellStyle name="Normal 396 3 4" xfId="30107" xr:uid="{00000000-0005-0000-0000-00009B750000}"/>
    <cellStyle name="Normal 396 3 4 2" xfId="30108" xr:uid="{00000000-0005-0000-0000-00009C750000}"/>
    <cellStyle name="Normal 396 3 4 2 2" xfId="30109" xr:uid="{00000000-0005-0000-0000-00009D750000}"/>
    <cellStyle name="Normal 396 3 4 3" xfId="30110" xr:uid="{00000000-0005-0000-0000-00009E750000}"/>
    <cellStyle name="Normal 396 3 5" xfId="30111" xr:uid="{00000000-0005-0000-0000-00009F750000}"/>
    <cellStyle name="Normal 396 3 5 2" xfId="30112" xr:uid="{00000000-0005-0000-0000-0000A0750000}"/>
    <cellStyle name="Normal 396 3 5 2 2" xfId="30113" xr:uid="{00000000-0005-0000-0000-0000A1750000}"/>
    <cellStyle name="Normal 396 3 5 3" xfId="30114" xr:uid="{00000000-0005-0000-0000-0000A2750000}"/>
    <cellStyle name="Normal 396 3 6" xfId="30115" xr:uid="{00000000-0005-0000-0000-0000A3750000}"/>
    <cellStyle name="Normal 396 4" xfId="30116" xr:uid="{00000000-0005-0000-0000-0000A4750000}"/>
    <cellStyle name="Normal 396 4 2" xfId="30117" xr:uid="{00000000-0005-0000-0000-0000A5750000}"/>
    <cellStyle name="Normal 396 4 2 2" xfId="30118" xr:uid="{00000000-0005-0000-0000-0000A6750000}"/>
    <cellStyle name="Normal 396 4 3" xfId="30119" xr:uid="{00000000-0005-0000-0000-0000A7750000}"/>
    <cellStyle name="Normal 396 5" xfId="30120" xr:uid="{00000000-0005-0000-0000-0000A8750000}"/>
    <cellStyle name="Normal 396 5 2" xfId="30121" xr:uid="{00000000-0005-0000-0000-0000A9750000}"/>
    <cellStyle name="Normal 396 5 2 2" xfId="30122" xr:uid="{00000000-0005-0000-0000-0000AA750000}"/>
    <cellStyle name="Normal 396 5 3" xfId="30123" xr:uid="{00000000-0005-0000-0000-0000AB750000}"/>
    <cellStyle name="Normal 396 6" xfId="30124" xr:uid="{00000000-0005-0000-0000-0000AC750000}"/>
    <cellStyle name="Normal 396 6 2" xfId="30125" xr:uid="{00000000-0005-0000-0000-0000AD750000}"/>
    <cellStyle name="Normal 396 6 2 2" xfId="30126" xr:uid="{00000000-0005-0000-0000-0000AE750000}"/>
    <cellStyle name="Normal 396 6 3" xfId="30127" xr:uid="{00000000-0005-0000-0000-0000AF750000}"/>
    <cellStyle name="Normal 396 7" xfId="30128" xr:uid="{00000000-0005-0000-0000-0000B0750000}"/>
    <cellStyle name="Normal 397" xfId="30129" xr:uid="{00000000-0005-0000-0000-0000B1750000}"/>
    <cellStyle name="Normal 397 2" xfId="30130" xr:uid="{00000000-0005-0000-0000-0000B2750000}"/>
    <cellStyle name="Normal 397 2 2" xfId="30131" xr:uid="{00000000-0005-0000-0000-0000B3750000}"/>
    <cellStyle name="Normal 397 2 2 2" xfId="30132" xr:uid="{00000000-0005-0000-0000-0000B4750000}"/>
    <cellStyle name="Normal 397 2 3" xfId="30133" xr:uid="{00000000-0005-0000-0000-0000B5750000}"/>
    <cellStyle name="Normal 397 2 3 2" xfId="30134" xr:uid="{00000000-0005-0000-0000-0000B6750000}"/>
    <cellStyle name="Normal 397 2 3 2 2" xfId="30135" xr:uid="{00000000-0005-0000-0000-0000B7750000}"/>
    <cellStyle name="Normal 397 2 3 3" xfId="30136" xr:uid="{00000000-0005-0000-0000-0000B8750000}"/>
    <cellStyle name="Normal 397 2 4" xfId="30137" xr:uid="{00000000-0005-0000-0000-0000B9750000}"/>
    <cellStyle name="Normal 397 2 4 2" xfId="30138" xr:uid="{00000000-0005-0000-0000-0000BA750000}"/>
    <cellStyle name="Normal 397 2 4 2 2" xfId="30139" xr:uid="{00000000-0005-0000-0000-0000BB750000}"/>
    <cellStyle name="Normal 397 2 4 3" xfId="30140" xr:uid="{00000000-0005-0000-0000-0000BC750000}"/>
    <cellStyle name="Normal 397 2 5" xfId="30141" xr:uid="{00000000-0005-0000-0000-0000BD750000}"/>
    <cellStyle name="Normal 397 3" xfId="30142" xr:uid="{00000000-0005-0000-0000-0000BE750000}"/>
    <cellStyle name="Normal 397 3 2" xfId="30143" xr:uid="{00000000-0005-0000-0000-0000BF750000}"/>
    <cellStyle name="Normal 397 3 2 2" xfId="30144" xr:uid="{00000000-0005-0000-0000-0000C0750000}"/>
    <cellStyle name="Normal 397 3 2 2 2" xfId="30145" xr:uid="{00000000-0005-0000-0000-0000C1750000}"/>
    <cellStyle name="Normal 397 3 2 3" xfId="30146" xr:uid="{00000000-0005-0000-0000-0000C2750000}"/>
    <cellStyle name="Normal 397 3 2 3 2" xfId="30147" xr:uid="{00000000-0005-0000-0000-0000C3750000}"/>
    <cellStyle name="Normal 397 3 2 3 2 2" xfId="30148" xr:uid="{00000000-0005-0000-0000-0000C4750000}"/>
    <cellStyle name="Normal 397 3 2 3 3" xfId="30149" xr:uid="{00000000-0005-0000-0000-0000C5750000}"/>
    <cellStyle name="Normal 397 3 2 4" xfId="30150" xr:uid="{00000000-0005-0000-0000-0000C6750000}"/>
    <cellStyle name="Normal 397 3 3" xfId="30151" xr:uid="{00000000-0005-0000-0000-0000C7750000}"/>
    <cellStyle name="Normal 397 3 3 2" xfId="30152" xr:uid="{00000000-0005-0000-0000-0000C8750000}"/>
    <cellStyle name="Normal 397 3 3 2 2" xfId="30153" xr:uid="{00000000-0005-0000-0000-0000C9750000}"/>
    <cellStyle name="Normal 397 3 3 3" xfId="30154" xr:uid="{00000000-0005-0000-0000-0000CA750000}"/>
    <cellStyle name="Normal 397 3 4" xfId="30155" xr:uid="{00000000-0005-0000-0000-0000CB750000}"/>
    <cellStyle name="Normal 397 3 4 2" xfId="30156" xr:uid="{00000000-0005-0000-0000-0000CC750000}"/>
    <cellStyle name="Normal 397 3 4 2 2" xfId="30157" xr:uid="{00000000-0005-0000-0000-0000CD750000}"/>
    <cellStyle name="Normal 397 3 4 3" xfId="30158" xr:uid="{00000000-0005-0000-0000-0000CE750000}"/>
    <cellStyle name="Normal 397 3 5" xfId="30159" xr:uid="{00000000-0005-0000-0000-0000CF750000}"/>
    <cellStyle name="Normal 397 3 5 2" xfId="30160" xr:uid="{00000000-0005-0000-0000-0000D0750000}"/>
    <cellStyle name="Normal 397 3 5 2 2" xfId="30161" xr:uid="{00000000-0005-0000-0000-0000D1750000}"/>
    <cellStyle name="Normal 397 3 5 3" xfId="30162" xr:uid="{00000000-0005-0000-0000-0000D2750000}"/>
    <cellStyle name="Normal 397 3 6" xfId="30163" xr:uid="{00000000-0005-0000-0000-0000D3750000}"/>
    <cellStyle name="Normal 397 4" xfId="30164" xr:uid="{00000000-0005-0000-0000-0000D4750000}"/>
    <cellStyle name="Normal 397 4 2" xfId="30165" xr:uid="{00000000-0005-0000-0000-0000D5750000}"/>
    <cellStyle name="Normal 397 4 2 2" xfId="30166" xr:uid="{00000000-0005-0000-0000-0000D6750000}"/>
    <cellStyle name="Normal 397 4 3" xfId="30167" xr:uid="{00000000-0005-0000-0000-0000D7750000}"/>
    <cellStyle name="Normal 397 5" xfId="30168" xr:uid="{00000000-0005-0000-0000-0000D8750000}"/>
    <cellStyle name="Normal 397 5 2" xfId="30169" xr:uid="{00000000-0005-0000-0000-0000D9750000}"/>
    <cellStyle name="Normal 397 5 2 2" xfId="30170" xr:uid="{00000000-0005-0000-0000-0000DA750000}"/>
    <cellStyle name="Normal 397 5 3" xfId="30171" xr:uid="{00000000-0005-0000-0000-0000DB750000}"/>
    <cellStyle name="Normal 397 6" xfId="30172" xr:uid="{00000000-0005-0000-0000-0000DC750000}"/>
    <cellStyle name="Normal 397 6 2" xfId="30173" xr:uid="{00000000-0005-0000-0000-0000DD750000}"/>
    <cellStyle name="Normal 397 6 2 2" xfId="30174" xr:uid="{00000000-0005-0000-0000-0000DE750000}"/>
    <cellStyle name="Normal 397 6 3" xfId="30175" xr:uid="{00000000-0005-0000-0000-0000DF750000}"/>
    <cellStyle name="Normal 397 7" xfId="30176" xr:uid="{00000000-0005-0000-0000-0000E0750000}"/>
    <cellStyle name="Normal 398" xfId="30177" xr:uid="{00000000-0005-0000-0000-0000E1750000}"/>
    <cellStyle name="Normal 398 2" xfId="30178" xr:uid="{00000000-0005-0000-0000-0000E2750000}"/>
    <cellStyle name="Normal 398 2 2" xfId="30179" xr:uid="{00000000-0005-0000-0000-0000E3750000}"/>
    <cellStyle name="Normal 398 2 2 2" xfId="30180" xr:uid="{00000000-0005-0000-0000-0000E4750000}"/>
    <cellStyle name="Normal 398 2 3" xfId="30181" xr:uid="{00000000-0005-0000-0000-0000E5750000}"/>
    <cellStyle name="Normal 398 2 3 2" xfId="30182" xr:uid="{00000000-0005-0000-0000-0000E6750000}"/>
    <cellStyle name="Normal 398 2 3 2 2" xfId="30183" xr:uid="{00000000-0005-0000-0000-0000E7750000}"/>
    <cellStyle name="Normal 398 2 3 3" xfId="30184" xr:uid="{00000000-0005-0000-0000-0000E8750000}"/>
    <cellStyle name="Normal 398 2 4" xfId="30185" xr:uid="{00000000-0005-0000-0000-0000E9750000}"/>
    <cellStyle name="Normal 398 2 4 2" xfId="30186" xr:uid="{00000000-0005-0000-0000-0000EA750000}"/>
    <cellStyle name="Normal 398 2 4 2 2" xfId="30187" xr:uid="{00000000-0005-0000-0000-0000EB750000}"/>
    <cellStyle name="Normal 398 2 4 3" xfId="30188" xr:uid="{00000000-0005-0000-0000-0000EC750000}"/>
    <cellStyle name="Normal 398 2 5" xfId="30189" xr:uid="{00000000-0005-0000-0000-0000ED750000}"/>
    <cellStyle name="Normal 398 3" xfId="30190" xr:uid="{00000000-0005-0000-0000-0000EE750000}"/>
    <cellStyle name="Normal 398 3 2" xfId="30191" xr:uid="{00000000-0005-0000-0000-0000EF750000}"/>
    <cellStyle name="Normal 398 3 2 2" xfId="30192" xr:uid="{00000000-0005-0000-0000-0000F0750000}"/>
    <cellStyle name="Normal 398 3 2 2 2" xfId="30193" xr:uid="{00000000-0005-0000-0000-0000F1750000}"/>
    <cellStyle name="Normal 398 3 2 3" xfId="30194" xr:uid="{00000000-0005-0000-0000-0000F2750000}"/>
    <cellStyle name="Normal 398 3 2 3 2" xfId="30195" xr:uid="{00000000-0005-0000-0000-0000F3750000}"/>
    <cellStyle name="Normal 398 3 2 3 2 2" xfId="30196" xr:uid="{00000000-0005-0000-0000-0000F4750000}"/>
    <cellStyle name="Normal 398 3 2 3 3" xfId="30197" xr:uid="{00000000-0005-0000-0000-0000F5750000}"/>
    <cellStyle name="Normal 398 3 2 4" xfId="30198" xr:uid="{00000000-0005-0000-0000-0000F6750000}"/>
    <cellStyle name="Normal 398 3 3" xfId="30199" xr:uid="{00000000-0005-0000-0000-0000F7750000}"/>
    <cellStyle name="Normal 398 3 3 2" xfId="30200" xr:uid="{00000000-0005-0000-0000-0000F8750000}"/>
    <cellStyle name="Normal 398 3 3 2 2" xfId="30201" xr:uid="{00000000-0005-0000-0000-0000F9750000}"/>
    <cellStyle name="Normal 398 3 3 3" xfId="30202" xr:uid="{00000000-0005-0000-0000-0000FA750000}"/>
    <cellStyle name="Normal 398 3 4" xfId="30203" xr:uid="{00000000-0005-0000-0000-0000FB750000}"/>
    <cellStyle name="Normal 398 3 4 2" xfId="30204" xr:uid="{00000000-0005-0000-0000-0000FC750000}"/>
    <cellStyle name="Normal 398 3 4 2 2" xfId="30205" xr:uid="{00000000-0005-0000-0000-0000FD750000}"/>
    <cellStyle name="Normal 398 3 4 3" xfId="30206" xr:uid="{00000000-0005-0000-0000-0000FE750000}"/>
    <cellStyle name="Normal 398 3 5" xfId="30207" xr:uid="{00000000-0005-0000-0000-0000FF750000}"/>
    <cellStyle name="Normal 398 3 5 2" xfId="30208" xr:uid="{00000000-0005-0000-0000-000000760000}"/>
    <cellStyle name="Normal 398 3 5 2 2" xfId="30209" xr:uid="{00000000-0005-0000-0000-000001760000}"/>
    <cellStyle name="Normal 398 3 5 3" xfId="30210" xr:uid="{00000000-0005-0000-0000-000002760000}"/>
    <cellStyle name="Normal 398 3 6" xfId="30211" xr:uid="{00000000-0005-0000-0000-000003760000}"/>
    <cellStyle name="Normal 398 4" xfId="30212" xr:uid="{00000000-0005-0000-0000-000004760000}"/>
    <cellStyle name="Normal 398 4 2" xfId="30213" xr:uid="{00000000-0005-0000-0000-000005760000}"/>
    <cellStyle name="Normal 398 4 2 2" xfId="30214" xr:uid="{00000000-0005-0000-0000-000006760000}"/>
    <cellStyle name="Normal 398 4 3" xfId="30215" xr:uid="{00000000-0005-0000-0000-000007760000}"/>
    <cellStyle name="Normal 398 5" xfId="30216" xr:uid="{00000000-0005-0000-0000-000008760000}"/>
    <cellStyle name="Normal 398 5 2" xfId="30217" xr:uid="{00000000-0005-0000-0000-000009760000}"/>
    <cellStyle name="Normal 398 5 2 2" xfId="30218" xr:uid="{00000000-0005-0000-0000-00000A760000}"/>
    <cellStyle name="Normal 398 5 3" xfId="30219" xr:uid="{00000000-0005-0000-0000-00000B760000}"/>
    <cellStyle name="Normal 398 6" xfId="30220" xr:uid="{00000000-0005-0000-0000-00000C760000}"/>
    <cellStyle name="Normal 398 6 2" xfId="30221" xr:uid="{00000000-0005-0000-0000-00000D760000}"/>
    <cellStyle name="Normal 398 6 2 2" xfId="30222" xr:uid="{00000000-0005-0000-0000-00000E760000}"/>
    <cellStyle name="Normal 398 6 3" xfId="30223" xr:uid="{00000000-0005-0000-0000-00000F760000}"/>
    <cellStyle name="Normal 398 7" xfId="30224" xr:uid="{00000000-0005-0000-0000-000010760000}"/>
    <cellStyle name="Normal 399" xfId="30225" xr:uid="{00000000-0005-0000-0000-000011760000}"/>
    <cellStyle name="Normal 399 2" xfId="30226" xr:uid="{00000000-0005-0000-0000-000012760000}"/>
    <cellStyle name="Normal 399 2 2" xfId="30227" xr:uid="{00000000-0005-0000-0000-000013760000}"/>
    <cellStyle name="Normal 399 2 2 2" xfId="30228" xr:uid="{00000000-0005-0000-0000-000014760000}"/>
    <cellStyle name="Normal 399 2 3" xfId="30229" xr:uid="{00000000-0005-0000-0000-000015760000}"/>
    <cellStyle name="Normal 399 2 3 2" xfId="30230" xr:uid="{00000000-0005-0000-0000-000016760000}"/>
    <cellStyle name="Normal 399 2 3 2 2" xfId="30231" xr:uid="{00000000-0005-0000-0000-000017760000}"/>
    <cellStyle name="Normal 399 2 3 3" xfId="30232" xr:uid="{00000000-0005-0000-0000-000018760000}"/>
    <cellStyle name="Normal 399 2 4" xfId="30233" xr:uid="{00000000-0005-0000-0000-000019760000}"/>
    <cellStyle name="Normal 399 2 4 2" xfId="30234" xr:uid="{00000000-0005-0000-0000-00001A760000}"/>
    <cellStyle name="Normal 399 2 4 2 2" xfId="30235" xr:uid="{00000000-0005-0000-0000-00001B760000}"/>
    <cellStyle name="Normal 399 2 4 3" xfId="30236" xr:uid="{00000000-0005-0000-0000-00001C760000}"/>
    <cellStyle name="Normal 399 2 5" xfId="30237" xr:uid="{00000000-0005-0000-0000-00001D760000}"/>
    <cellStyle name="Normal 399 3" xfId="30238" xr:uid="{00000000-0005-0000-0000-00001E760000}"/>
    <cellStyle name="Normal 399 3 2" xfId="30239" xr:uid="{00000000-0005-0000-0000-00001F760000}"/>
    <cellStyle name="Normal 399 3 2 2" xfId="30240" xr:uid="{00000000-0005-0000-0000-000020760000}"/>
    <cellStyle name="Normal 399 3 2 2 2" xfId="30241" xr:uid="{00000000-0005-0000-0000-000021760000}"/>
    <cellStyle name="Normal 399 3 2 3" xfId="30242" xr:uid="{00000000-0005-0000-0000-000022760000}"/>
    <cellStyle name="Normal 399 3 2 3 2" xfId="30243" xr:uid="{00000000-0005-0000-0000-000023760000}"/>
    <cellStyle name="Normal 399 3 2 3 2 2" xfId="30244" xr:uid="{00000000-0005-0000-0000-000024760000}"/>
    <cellStyle name="Normal 399 3 2 3 3" xfId="30245" xr:uid="{00000000-0005-0000-0000-000025760000}"/>
    <cellStyle name="Normal 399 3 2 4" xfId="30246" xr:uid="{00000000-0005-0000-0000-000026760000}"/>
    <cellStyle name="Normal 399 3 3" xfId="30247" xr:uid="{00000000-0005-0000-0000-000027760000}"/>
    <cellStyle name="Normal 399 3 3 2" xfId="30248" xr:uid="{00000000-0005-0000-0000-000028760000}"/>
    <cellStyle name="Normal 399 3 3 2 2" xfId="30249" xr:uid="{00000000-0005-0000-0000-000029760000}"/>
    <cellStyle name="Normal 399 3 3 3" xfId="30250" xr:uid="{00000000-0005-0000-0000-00002A760000}"/>
    <cellStyle name="Normal 399 3 4" xfId="30251" xr:uid="{00000000-0005-0000-0000-00002B760000}"/>
    <cellStyle name="Normal 399 3 4 2" xfId="30252" xr:uid="{00000000-0005-0000-0000-00002C760000}"/>
    <cellStyle name="Normal 399 3 4 2 2" xfId="30253" xr:uid="{00000000-0005-0000-0000-00002D760000}"/>
    <cellStyle name="Normal 399 3 4 3" xfId="30254" xr:uid="{00000000-0005-0000-0000-00002E760000}"/>
    <cellStyle name="Normal 399 3 5" xfId="30255" xr:uid="{00000000-0005-0000-0000-00002F760000}"/>
    <cellStyle name="Normal 399 3 5 2" xfId="30256" xr:uid="{00000000-0005-0000-0000-000030760000}"/>
    <cellStyle name="Normal 399 3 5 2 2" xfId="30257" xr:uid="{00000000-0005-0000-0000-000031760000}"/>
    <cellStyle name="Normal 399 3 5 3" xfId="30258" xr:uid="{00000000-0005-0000-0000-000032760000}"/>
    <cellStyle name="Normal 399 3 6" xfId="30259" xr:uid="{00000000-0005-0000-0000-000033760000}"/>
    <cellStyle name="Normal 399 4" xfId="30260" xr:uid="{00000000-0005-0000-0000-000034760000}"/>
    <cellStyle name="Normal 399 4 2" xfId="30261" xr:uid="{00000000-0005-0000-0000-000035760000}"/>
    <cellStyle name="Normal 399 4 2 2" xfId="30262" xr:uid="{00000000-0005-0000-0000-000036760000}"/>
    <cellStyle name="Normal 399 4 3" xfId="30263" xr:uid="{00000000-0005-0000-0000-000037760000}"/>
    <cellStyle name="Normal 399 5" xfId="30264" xr:uid="{00000000-0005-0000-0000-000038760000}"/>
    <cellStyle name="Normal 399 5 2" xfId="30265" xr:uid="{00000000-0005-0000-0000-000039760000}"/>
    <cellStyle name="Normal 399 5 2 2" xfId="30266" xr:uid="{00000000-0005-0000-0000-00003A760000}"/>
    <cellStyle name="Normal 399 5 3" xfId="30267" xr:uid="{00000000-0005-0000-0000-00003B760000}"/>
    <cellStyle name="Normal 399 6" xfId="30268" xr:uid="{00000000-0005-0000-0000-00003C760000}"/>
    <cellStyle name="Normal 399 6 2" xfId="30269" xr:uid="{00000000-0005-0000-0000-00003D760000}"/>
    <cellStyle name="Normal 399 6 2 2" xfId="30270" xr:uid="{00000000-0005-0000-0000-00003E760000}"/>
    <cellStyle name="Normal 399 6 3" xfId="30271" xr:uid="{00000000-0005-0000-0000-00003F760000}"/>
    <cellStyle name="Normal 399 7" xfId="30272" xr:uid="{00000000-0005-0000-0000-000040760000}"/>
    <cellStyle name="Normal 4" xfId="30273" xr:uid="{00000000-0005-0000-0000-000041760000}"/>
    <cellStyle name="Normal 4 10" xfId="30274" xr:uid="{00000000-0005-0000-0000-000042760000}"/>
    <cellStyle name="Normal 4 10 2" xfId="30275" xr:uid="{00000000-0005-0000-0000-000043760000}"/>
    <cellStyle name="Normal 4 11" xfId="30276" xr:uid="{00000000-0005-0000-0000-000044760000}"/>
    <cellStyle name="Normal 4 12" xfId="30277" xr:uid="{00000000-0005-0000-0000-000045760000}"/>
    <cellStyle name="Normal 4 2" xfId="30278" xr:uid="{00000000-0005-0000-0000-000046760000}"/>
    <cellStyle name="Normal 4 2 2" xfId="30279" xr:uid="{00000000-0005-0000-0000-000047760000}"/>
    <cellStyle name="Normal 4 2 2 2" xfId="30280" xr:uid="{00000000-0005-0000-0000-000048760000}"/>
    <cellStyle name="Normal 4 2 2 2 2" xfId="30281" xr:uid="{00000000-0005-0000-0000-000049760000}"/>
    <cellStyle name="Normal 4 2 2 3" xfId="30282" xr:uid="{00000000-0005-0000-0000-00004A760000}"/>
    <cellStyle name="Normal 4 2 2 3 2" xfId="30283" xr:uid="{00000000-0005-0000-0000-00004B760000}"/>
    <cellStyle name="Normal 4 2 2 3 2 2" xfId="30284" xr:uid="{00000000-0005-0000-0000-00004C760000}"/>
    <cellStyle name="Normal 4 2 2 3 3" xfId="30285" xr:uid="{00000000-0005-0000-0000-00004D760000}"/>
    <cellStyle name="Normal 4 2 2 4" xfId="30286" xr:uid="{00000000-0005-0000-0000-00004E760000}"/>
    <cellStyle name="Normal 4 2 2 4 2" xfId="30287" xr:uid="{00000000-0005-0000-0000-00004F760000}"/>
    <cellStyle name="Normal 4 2 2 4 2 2" xfId="30288" xr:uid="{00000000-0005-0000-0000-000050760000}"/>
    <cellStyle name="Normal 4 2 2 4 3" xfId="30289" xr:uid="{00000000-0005-0000-0000-000051760000}"/>
    <cellStyle name="Normal 4 2 2 5" xfId="30290" xr:uid="{00000000-0005-0000-0000-000052760000}"/>
    <cellStyle name="Normal 4 2 3" xfId="30291" xr:uid="{00000000-0005-0000-0000-000053760000}"/>
    <cellStyle name="Normal 4 2 3 2" xfId="30292" xr:uid="{00000000-0005-0000-0000-000054760000}"/>
    <cellStyle name="Normal 4 2 3 2 2" xfId="30293" xr:uid="{00000000-0005-0000-0000-000055760000}"/>
    <cellStyle name="Normal 4 2 3 2 2 2" xfId="30294" xr:uid="{00000000-0005-0000-0000-000056760000}"/>
    <cellStyle name="Normal 4 2 3 2 3" xfId="30295" xr:uid="{00000000-0005-0000-0000-000057760000}"/>
    <cellStyle name="Normal 4 2 3 2 3 2" xfId="30296" xr:uid="{00000000-0005-0000-0000-000058760000}"/>
    <cellStyle name="Normal 4 2 3 2 3 2 2" xfId="30297" xr:uid="{00000000-0005-0000-0000-000059760000}"/>
    <cellStyle name="Normal 4 2 3 2 3 3" xfId="30298" xr:uid="{00000000-0005-0000-0000-00005A760000}"/>
    <cellStyle name="Normal 4 2 3 2 4" xfId="30299" xr:uid="{00000000-0005-0000-0000-00005B760000}"/>
    <cellStyle name="Normal 4 2 3 3" xfId="30300" xr:uid="{00000000-0005-0000-0000-00005C760000}"/>
    <cellStyle name="Normal 4 2 3 3 2" xfId="30301" xr:uid="{00000000-0005-0000-0000-00005D760000}"/>
    <cellStyle name="Normal 4 2 3 3 2 2" xfId="30302" xr:uid="{00000000-0005-0000-0000-00005E760000}"/>
    <cellStyle name="Normal 4 2 3 3 3" xfId="30303" xr:uid="{00000000-0005-0000-0000-00005F760000}"/>
    <cellStyle name="Normal 4 2 3 4" xfId="30304" xr:uid="{00000000-0005-0000-0000-000060760000}"/>
    <cellStyle name="Normal 4 2 3 4 2" xfId="30305" xr:uid="{00000000-0005-0000-0000-000061760000}"/>
    <cellStyle name="Normal 4 2 3 4 2 2" xfId="30306" xr:uid="{00000000-0005-0000-0000-000062760000}"/>
    <cellStyle name="Normal 4 2 3 4 3" xfId="30307" xr:uid="{00000000-0005-0000-0000-000063760000}"/>
    <cellStyle name="Normal 4 2 3 5" xfId="30308" xr:uid="{00000000-0005-0000-0000-000064760000}"/>
    <cellStyle name="Normal 4 2 3 5 2" xfId="30309" xr:uid="{00000000-0005-0000-0000-000065760000}"/>
    <cellStyle name="Normal 4 2 3 5 2 2" xfId="30310" xr:uid="{00000000-0005-0000-0000-000066760000}"/>
    <cellStyle name="Normal 4 2 3 5 3" xfId="30311" xr:uid="{00000000-0005-0000-0000-000067760000}"/>
    <cellStyle name="Normal 4 2 3 6" xfId="30312" xr:uid="{00000000-0005-0000-0000-000068760000}"/>
    <cellStyle name="Normal 4 2 4" xfId="30313" xr:uid="{00000000-0005-0000-0000-000069760000}"/>
    <cellStyle name="Normal 4 2 4 2" xfId="30314" xr:uid="{00000000-0005-0000-0000-00006A760000}"/>
    <cellStyle name="Normal 4 2 4 2 2" xfId="30315" xr:uid="{00000000-0005-0000-0000-00006B760000}"/>
    <cellStyle name="Normal 4 2 4 3" xfId="30316" xr:uid="{00000000-0005-0000-0000-00006C760000}"/>
    <cellStyle name="Normal 4 2 5" xfId="30317" xr:uid="{00000000-0005-0000-0000-00006D760000}"/>
    <cellStyle name="Normal 4 2 5 2" xfId="30318" xr:uid="{00000000-0005-0000-0000-00006E760000}"/>
    <cellStyle name="Normal 4 2 5 2 2" xfId="30319" xr:uid="{00000000-0005-0000-0000-00006F760000}"/>
    <cellStyle name="Normal 4 2 5 3" xfId="30320" xr:uid="{00000000-0005-0000-0000-000070760000}"/>
    <cellStyle name="Normal 4 2 6" xfId="30321" xr:uid="{00000000-0005-0000-0000-000071760000}"/>
    <cellStyle name="Normal 4 2 6 2" xfId="30322" xr:uid="{00000000-0005-0000-0000-000072760000}"/>
    <cellStyle name="Normal 4 2 6 2 2" xfId="30323" xr:uid="{00000000-0005-0000-0000-000073760000}"/>
    <cellStyle name="Normal 4 2 6 3" xfId="30324" xr:uid="{00000000-0005-0000-0000-000074760000}"/>
    <cellStyle name="Normal 4 2 7" xfId="30325" xr:uid="{00000000-0005-0000-0000-000075760000}"/>
    <cellStyle name="Normal 4 2 7 2" xfId="30326" xr:uid="{00000000-0005-0000-0000-000076760000}"/>
    <cellStyle name="Normal 4 2 8" xfId="30327" xr:uid="{00000000-0005-0000-0000-000077760000}"/>
    <cellStyle name="Normal 4 3" xfId="30328" xr:uid="{00000000-0005-0000-0000-000078760000}"/>
    <cellStyle name="Normal 4 3 2" xfId="30329" xr:uid="{00000000-0005-0000-0000-000079760000}"/>
    <cellStyle name="Normal 4 3 2 2" xfId="30330" xr:uid="{00000000-0005-0000-0000-00007A760000}"/>
    <cellStyle name="Normal 4 3 2 2 2" xfId="30331" xr:uid="{00000000-0005-0000-0000-00007B760000}"/>
    <cellStyle name="Normal 4 3 2 3" xfId="30332" xr:uid="{00000000-0005-0000-0000-00007C760000}"/>
    <cellStyle name="Normal 4 3 2 3 2" xfId="30333" xr:uid="{00000000-0005-0000-0000-00007D760000}"/>
    <cellStyle name="Normal 4 3 2 3 2 2" xfId="30334" xr:uid="{00000000-0005-0000-0000-00007E760000}"/>
    <cellStyle name="Normal 4 3 2 3 3" xfId="30335" xr:uid="{00000000-0005-0000-0000-00007F760000}"/>
    <cellStyle name="Normal 4 3 2 4" xfId="30336" xr:uid="{00000000-0005-0000-0000-000080760000}"/>
    <cellStyle name="Normal 4 3 2 4 2" xfId="30337" xr:uid="{00000000-0005-0000-0000-000081760000}"/>
    <cellStyle name="Normal 4 3 2 4 2 2" xfId="30338" xr:uid="{00000000-0005-0000-0000-000082760000}"/>
    <cellStyle name="Normal 4 3 2 4 3" xfId="30339" xr:uid="{00000000-0005-0000-0000-000083760000}"/>
    <cellStyle name="Normal 4 3 2 5" xfId="30340" xr:uid="{00000000-0005-0000-0000-000084760000}"/>
    <cellStyle name="Normal 4 3 3" xfId="30341" xr:uid="{00000000-0005-0000-0000-000085760000}"/>
    <cellStyle name="Normal 4 3 3 2" xfId="30342" xr:uid="{00000000-0005-0000-0000-000086760000}"/>
    <cellStyle name="Normal 4 3 3 2 2" xfId="30343" xr:uid="{00000000-0005-0000-0000-000087760000}"/>
    <cellStyle name="Normal 4 3 3 3" xfId="30344" xr:uid="{00000000-0005-0000-0000-000088760000}"/>
    <cellStyle name="Normal 4 3 4" xfId="30345" xr:uid="{00000000-0005-0000-0000-000089760000}"/>
    <cellStyle name="Normal 4 3 4 2" xfId="30346" xr:uid="{00000000-0005-0000-0000-00008A760000}"/>
    <cellStyle name="Normal 4 3 4 2 2" xfId="30347" xr:uid="{00000000-0005-0000-0000-00008B760000}"/>
    <cellStyle name="Normal 4 3 4 3" xfId="30348" xr:uid="{00000000-0005-0000-0000-00008C760000}"/>
    <cellStyle name="Normal 4 3 5" xfId="30349" xr:uid="{00000000-0005-0000-0000-00008D760000}"/>
    <cellStyle name="Normal 4 3 5 2" xfId="30350" xr:uid="{00000000-0005-0000-0000-00008E760000}"/>
    <cellStyle name="Normal 4 3 5 2 2" xfId="30351" xr:uid="{00000000-0005-0000-0000-00008F760000}"/>
    <cellStyle name="Normal 4 3 5 3" xfId="30352" xr:uid="{00000000-0005-0000-0000-000090760000}"/>
    <cellStyle name="Normal 4 3 6" xfId="30353" xr:uid="{00000000-0005-0000-0000-000091760000}"/>
    <cellStyle name="Normal 4 4" xfId="30354" xr:uid="{00000000-0005-0000-0000-000092760000}"/>
    <cellStyle name="Normal 4 4 2" xfId="30355" xr:uid="{00000000-0005-0000-0000-000093760000}"/>
    <cellStyle name="Normal 4 4 2 2" xfId="30356" xr:uid="{00000000-0005-0000-0000-000094760000}"/>
    <cellStyle name="Normal 4 4 2 2 2" xfId="30357" xr:uid="{00000000-0005-0000-0000-000095760000}"/>
    <cellStyle name="Normal 4 4 2 3" xfId="30358" xr:uid="{00000000-0005-0000-0000-000096760000}"/>
    <cellStyle name="Normal 4 4 2 3 2" xfId="30359" xr:uid="{00000000-0005-0000-0000-000097760000}"/>
    <cellStyle name="Normal 4 4 2 3 2 2" xfId="30360" xr:uid="{00000000-0005-0000-0000-000098760000}"/>
    <cellStyle name="Normal 4 4 2 3 3" xfId="30361" xr:uid="{00000000-0005-0000-0000-000099760000}"/>
    <cellStyle name="Normal 4 4 2 4" xfId="30362" xr:uid="{00000000-0005-0000-0000-00009A760000}"/>
    <cellStyle name="Normal 4 4 2 4 2" xfId="30363" xr:uid="{00000000-0005-0000-0000-00009B760000}"/>
    <cellStyle name="Normal 4 4 2 4 2 2" xfId="30364" xr:uid="{00000000-0005-0000-0000-00009C760000}"/>
    <cellStyle name="Normal 4 4 2 4 3" xfId="30365" xr:uid="{00000000-0005-0000-0000-00009D760000}"/>
    <cellStyle name="Normal 4 4 2 5" xfId="30366" xr:uid="{00000000-0005-0000-0000-00009E760000}"/>
    <cellStyle name="Normal 4 4 3" xfId="30367" xr:uid="{00000000-0005-0000-0000-00009F760000}"/>
    <cellStyle name="Normal 4 4 3 2" xfId="30368" xr:uid="{00000000-0005-0000-0000-0000A0760000}"/>
    <cellStyle name="Normal 4 4 3 2 2" xfId="30369" xr:uid="{00000000-0005-0000-0000-0000A1760000}"/>
    <cellStyle name="Normal 4 4 3 3" xfId="30370" xr:uid="{00000000-0005-0000-0000-0000A2760000}"/>
    <cellStyle name="Normal 4 4 4" xfId="30371" xr:uid="{00000000-0005-0000-0000-0000A3760000}"/>
    <cellStyle name="Normal 4 4 4 2" xfId="30372" xr:uid="{00000000-0005-0000-0000-0000A4760000}"/>
    <cellStyle name="Normal 4 4 4 2 2" xfId="30373" xr:uid="{00000000-0005-0000-0000-0000A5760000}"/>
    <cellStyle name="Normal 4 4 4 3" xfId="30374" xr:uid="{00000000-0005-0000-0000-0000A6760000}"/>
    <cellStyle name="Normal 4 4 5" xfId="30375" xr:uid="{00000000-0005-0000-0000-0000A7760000}"/>
    <cellStyle name="Normal 4 4 5 2" xfId="30376" xr:uid="{00000000-0005-0000-0000-0000A8760000}"/>
    <cellStyle name="Normal 4 4 5 2 2" xfId="30377" xr:uid="{00000000-0005-0000-0000-0000A9760000}"/>
    <cellStyle name="Normal 4 4 5 3" xfId="30378" xr:uid="{00000000-0005-0000-0000-0000AA760000}"/>
    <cellStyle name="Normal 4 4 6" xfId="30379" xr:uid="{00000000-0005-0000-0000-0000AB760000}"/>
    <cellStyle name="Normal 4 5" xfId="30380" xr:uid="{00000000-0005-0000-0000-0000AC760000}"/>
    <cellStyle name="Normal 4 5 2" xfId="30381" xr:uid="{00000000-0005-0000-0000-0000AD760000}"/>
    <cellStyle name="Normal 4 5 2 2" xfId="30382" xr:uid="{00000000-0005-0000-0000-0000AE760000}"/>
    <cellStyle name="Normal 4 5 3" xfId="30383" xr:uid="{00000000-0005-0000-0000-0000AF760000}"/>
    <cellStyle name="Normal 4 5 3 2" xfId="30384" xr:uid="{00000000-0005-0000-0000-0000B0760000}"/>
    <cellStyle name="Normal 4 5 3 2 2" xfId="30385" xr:uid="{00000000-0005-0000-0000-0000B1760000}"/>
    <cellStyle name="Normal 4 5 3 3" xfId="30386" xr:uid="{00000000-0005-0000-0000-0000B2760000}"/>
    <cellStyle name="Normal 4 5 4" xfId="30387" xr:uid="{00000000-0005-0000-0000-0000B3760000}"/>
    <cellStyle name="Normal 4 5 4 2" xfId="30388" xr:uid="{00000000-0005-0000-0000-0000B4760000}"/>
    <cellStyle name="Normal 4 5 4 2 2" xfId="30389" xr:uid="{00000000-0005-0000-0000-0000B5760000}"/>
    <cellStyle name="Normal 4 5 4 3" xfId="30390" xr:uid="{00000000-0005-0000-0000-0000B6760000}"/>
    <cellStyle name="Normal 4 5 5" xfId="30391" xr:uid="{00000000-0005-0000-0000-0000B7760000}"/>
    <cellStyle name="Normal 4 6" xfId="30392" xr:uid="{00000000-0005-0000-0000-0000B8760000}"/>
    <cellStyle name="Normal 4 6 2" xfId="30393" xr:uid="{00000000-0005-0000-0000-0000B9760000}"/>
    <cellStyle name="Normal 4 6 2 2" xfId="30394" xr:uid="{00000000-0005-0000-0000-0000BA760000}"/>
    <cellStyle name="Normal 4 6 3" xfId="30395" xr:uid="{00000000-0005-0000-0000-0000BB760000}"/>
    <cellStyle name="Normal 4 6 3 2" xfId="30396" xr:uid="{00000000-0005-0000-0000-0000BC760000}"/>
    <cellStyle name="Normal 4 6 3 2 2" xfId="30397" xr:uid="{00000000-0005-0000-0000-0000BD760000}"/>
    <cellStyle name="Normal 4 6 3 3" xfId="30398" xr:uid="{00000000-0005-0000-0000-0000BE760000}"/>
    <cellStyle name="Normal 4 6 4" xfId="30399" xr:uid="{00000000-0005-0000-0000-0000BF760000}"/>
    <cellStyle name="Normal 4 6 4 2" xfId="30400" xr:uid="{00000000-0005-0000-0000-0000C0760000}"/>
    <cellStyle name="Normal 4 6 4 2 2" xfId="30401" xr:uid="{00000000-0005-0000-0000-0000C1760000}"/>
    <cellStyle name="Normal 4 6 4 3" xfId="30402" xr:uid="{00000000-0005-0000-0000-0000C2760000}"/>
    <cellStyle name="Normal 4 6 5" xfId="30403" xr:uid="{00000000-0005-0000-0000-0000C3760000}"/>
    <cellStyle name="Normal 4 7" xfId="30404" xr:uid="{00000000-0005-0000-0000-0000C4760000}"/>
    <cellStyle name="Normal 4 7 2" xfId="30405" xr:uid="{00000000-0005-0000-0000-0000C5760000}"/>
    <cellStyle name="Normal 4 7 2 2" xfId="30406" xr:uid="{00000000-0005-0000-0000-0000C6760000}"/>
    <cellStyle name="Normal 4 7 3" xfId="30407" xr:uid="{00000000-0005-0000-0000-0000C7760000}"/>
    <cellStyle name="Normal 4 8" xfId="30408" xr:uid="{00000000-0005-0000-0000-0000C8760000}"/>
    <cellStyle name="Normal 4 8 2" xfId="30409" xr:uid="{00000000-0005-0000-0000-0000C9760000}"/>
    <cellStyle name="Normal 4 8 2 2" xfId="30410" xr:uid="{00000000-0005-0000-0000-0000CA760000}"/>
    <cellStyle name="Normal 4 8 3" xfId="30411" xr:uid="{00000000-0005-0000-0000-0000CB760000}"/>
    <cellStyle name="Normal 4 9" xfId="30412" xr:uid="{00000000-0005-0000-0000-0000CC760000}"/>
    <cellStyle name="Normal 4 9 2" xfId="30413" xr:uid="{00000000-0005-0000-0000-0000CD760000}"/>
    <cellStyle name="Normal 4 9 2 2" xfId="30414" xr:uid="{00000000-0005-0000-0000-0000CE760000}"/>
    <cellStyle name="Normal 4 9 3" xfId="30415" xr:uid="{00000000-0005-0000-0000-0000CF760000}"/>
    <cellStyle name="Normal 40" xfId="30416" xr:uid="{00000000-0005-0000-0000-0000D0760000}"/>
    <cellStyle name="Normal 40 2" xfId="30417" xr:uid="{00000000-0005-0000-0000-0000D1760000}"/>
    <cellStyle name="Normal 40 2 2" xfId="30418" xr:uid="{00000000-0005-0000-0000-0000D2760000}"/>
    <cellStyle name="Normal 40 2 2 2" xfId="30419" xr:uid="{00000000-0005-0000-0000-0000D3760000}"/>
    <cellStyle name="Normal 40 2 2 2 2" xfId="30420" xr:uid="{00000000-0005-0000-0000-0000D4760000}"/>
    <cellStyle name="Normal 40 2 2 3" xfId="30421" xr:uid="{00000000-0005-0000-0000-0000D5760000}"/>
    <cellStyle name="Normal 40 2 2 3 2" xfId="30422" xr:uid="{00000000-0005-0000-0000-0000D6760000}"/>
    <cellStyle name="Normal 40 2 2 3 2 2" xfId="30423" xr:uid="{00000000-0005-0000-0000-0000D7760000}"/>
    <cellStyle name="Normal 40 2 2 3 3" xfId="30424" xr:uid="{00000000-0005-0000-0000-0000D8760000}"/>
    <cellStyle name="Normal 40 2 2 4" xfId="30425" xr:uid="{00000000-0005-0000-0000-0000D9760000}"/>
    <cellStyle name="Normal 40 2 2 4 2" xfId="30426" xr:uid="{00000000-0005-0000-0000-0000DA760000}"/>
    <cellStyle name="Normal 40 2 2 4 2 2" xfId="30427" xr:uid="{00000000-0005-0000-0000-0000DB760000}"/>
    <cellStyle name="Normal 40 2 2 4 3" xfId="30428" xr:uid="{00000000-0005-0000-0000-0000DC760000}"/>
    <cellStyle name="Normal 40 2 2 5" xfId="30429" xr:uid="{00000000-0005-0000-0000-0000DD760000}"/>
    <cellStyle name="Normal 40 2 3" xfId="30430" xr:uid="{00000000-0005-0000-0000-0000DE760000}"/>
    <cellStyle name="Normal 40 2 3 2" xfId="30431" xr:uid="{00000000-0005-0000-0000-0000DF760000}"/>
    <cellStyle name="Normal 40 2 3 2 2" xfId="30432" xr:uid="{00000000-0005-0000-0000-0000E0760000}"/>
    <cellStyle name="Normal 40 2 3 3" xfId="30433" xr:uid="{00000000-0005-0000-0000-0000E1760000}"/>
    <cellStyle name="Normal 40 2 4" xfId="30434" xr:uid="{00000000-0005-0000-0000-0000E2760000}"/>
    <cellStyle name="Normal 40 2 4 2" xfId="30435" xr:uid="{00000000-0005-0000-0000-0000E3760000}"/>
    <cellStyle name="Normal 40 2 4 2 2" xfId="30436" xr:uid="{00000000-0005-0000-0000-0000E4760000}"/>
    <cellStyle name="Normal 40 2 4 3" xfId="30437" xr:uid="{00000000-0005-0000-0000-0000E5760000}"/>
    <cellStyle name="Normal 40 2 5" xfId="30438" xr:uid="{00000000-0005-0000-0000-0000E6760000}"/>
    <cellStyle name="Normal 40 2 5 2" xfId="30439" xr:uid="{00000000-0005-0000-0000-0000E7760000}"/>
    <cellStyle name="Normal 40 2 5 2 2" xfId="30440" xr:uid="{00000000-0005-0000-0000-0000E8760000}"/>
    <cellStyle name="Normal 40 2 5 3" xfId="30441" xr:uid="{00000000-0005-0000-0000-0000E9760000}"/>
    <cellStyle name="Normal 40 2 6" xfId="30442" xr:uid="{00000000-0005-0000-0000-0000EA760000}"/>
    <cellStyle name="Normal 40 3" xfId="30443" xr:uid="{00000000-0005-0000-0000-0000EB760000}"/>
    <cellStyle name="Normal 40 3 2" xfId="30444" xr:uid="{00000000-0005-0000-0000-0000EC760000}"/>
    <cellStyle name="Normal 40 3 2 2" xfId="30445" xr:uid="{00000000-0005-0000-0000-0000ED760000}"/>
    <cellStyle name="Normal 40 3 3" xfId="30446" xr:uid="{00000000-0005-0000-0000-0000EE760000}"/>
    <cellStyle name="Normal 40 3 3 2" xfId="30447" xr:uid="{00000000-0005-0000-0000-0000EF760000}"/>
    <cellStyle name="Normal 40 3 3 2 2" xfId="30448" xr:uid="{00000000-0005-0000-0000-0000F0760000}"/>
    <cellStyle name="Normal 40 3 3 3" xfId="30449" xr:uid="{00000000-0005-0000-0000-0000F1760000}"/>
    <cellStyle name="Normal 40 3 4" xfId="30450" xr:uid="{00000000-0005-0000-0000-0000F2760000}"/>
    <cellStyle name="Normal 40 3 4 2" xfId="30451" xr:uid="{00000000-0005-0000-0000-0000F3760000}"/>
    <cellStyle name="Normal 40 3 4 2 2" xfId="30452" xr:uid="{00000000-0005-0000-0000-0000F4760000}"/>
    <cellStyle name="Normal 40 3 4 3" xfId="30453" xr:uid="{00000000-0005-0000-0000-0000F5760000}"/>
    <cellStyle name="Normal 40 3 5" xfId="30454" xr:uid="{00000000-0005-0000-0000-0000F6760000}"/>
    <cellStyle name="Normal 40 4" xfId="30455" xr:uid="{00000000-0005-0000-0000-0000F7760000}"/>
    <cellStyle name="Normal 40 4 2" xfId="30456" xr:uid="{00000000-0005-0000-0000-0000F8760000}"/>
    <cellStyle name="Normal 40 4 2 2" xfId="30457" xr:uid="{00000000-0005-0000-0000-0000F9760000}"/>
    <cellStyle name="Normal 40 4 3" xfId="30458" xr:uid="{00000000-0005-0000-0000-0000FA760000}"/>
    <cellStyle name="Normal 40 5" xfId="30459" xr:uid="{00000000-0005-0000-0000-0000FB760000}"/>
    <cellStyle name="Normal 40 5 2" xfId="30460" xr:uid="{00000000-0005-0000-0000-0000FC760000}"/>
    <cellStyle name="Normal 40 5 2 2" xfId="30461" xr:uid="{00000000-0005-0000-0000-0000FD760000}"/>
    <cellStyle name="Normal 40 5 3" xfId="30462" xr:uid="{00000000-0005-0000-0000-0000FE760000}"/>
    <cellStyle name="Normal 40 6" xfId="30463" xr:uid="{00000000-0005-0000-0000-0000FF760000}"/>
    <cellStyle name="Normal 40 6 2" xfId="30464" xr:uid="{00000000-0005-0000-0000-000000770000}"/>
    <cellStyle name="Normal 40 6 2 2" xfId="30465" xr:uid="{00000000-0005-0000-0000-000001770000}"/>
    <cellStyle name="Normal 40 6 3" xfId="30466" xr:uid="{00000000-0005-0000-0000-000002770000}"/>
    <cellStyle name="Normal 40 7" xfId="30467" xr:uid="{00000000-0005-0000-0000-000003770000}"/>
    <cellStyle name="Normal 400" xfId="30468" xr:uid="{00000000-0005-0000-0000-000004770000}"/>
    <cellStyle name="Normal 400 2" xfId="30469" xr:uid="{00000000-0005-0000-0000-000005770000}"/>
    <cellStyle name="Normal 400 2 2" xfId="30470" xr:uid="{00000000-0005-0000-0000-000006770000}"/>
    <cellStyle name="Normal 400 2 2 2" xfId="30471" xr:uid="{00000000-0005-0000-0000-000007770000}"/>
    <cellStyle name="Normal 400 2 3" xfId="30472" xr:uid="{00000000-0005-0000-0000-000008770000}"/>
    <cellStyle name="Normal 400 2 3 2" xfId="30473" xr:uid="{00000000-0005-0000-0000-000009770000}"/>
    <cellStyle name="Normal 400 2 3 2 2" xfId="30474" xr:uid="{00000000-0005-0000-0000-00000A770000}"/>
    <cellStyle name="Normal 400 2 3 3" xfId="30475" xr:uid="{00000000-0005-0000-0000-00000B770000}"/>
    <cellStyle name="Normal 400 2 4" xfId="30476" xr:uid="{00000000-0005-0000-0000-00000C770000}"/>
    <cellStyle name="Normal 400 2 4 2" xfId="30477" xr:uid="{00000000-0005-0000-0000-00000D770000}"/>
    <cellStyle name="Normal 400 2 4 2 2" xfId="30478" xr:uid="{00000000-0005-0000-0000-00000E770000}"/>
    <cellStyle name="Normal 400 2 4 3" xfId="30479" xr:uid="{00000000-0005-0000-0000-00000F770000}"/>
    <cellStyle name="Normal 400 2 5" xfId="30480" xr:uid="{00000000-0005-0000-0000-000010770000}"/>
    <cellStyle name="Normal 400 3" xfId="30481" xr:uid="{00000000-0005-0000-0000-000011770000}"/>
    <cellStyle name="Normal 400 3 2" xfId="30482" xr:uid="{00000000-0005-0000-0000-000012770000}"/>
    <cellStyle name="Normal 400 3 2 2" xfId="30483" xr:uid="{00000000-0005-0000-0000-000013770000}"/>
    <cellStyle name="Normal 400 3 2 2 2" xfId="30484" xr:uid="{00000000-0005-0000-0000-000014770000}"/>
    <cellStyle name="Normal 400 3 2 3" xfId="30485" xr:uid="{00000000-0005-0000-0000-000015770000}"/>
    <cellStyle name="Normal 400 3 2 3 2" xfId="30486" xr:uid="{00000000-0005-0000-0000-000016770000}"/>
    <cellStyle name="Normal 400 3 2 3 2 2" xfId="30487" xr:uid="{00000000-0005-0000-0000-000017770000}"/>
    <cellStyle name="Normal 400 3 2 3 3" xfId="30488" xr:uid="{00000000-0005-0000-0000-000018770000}"/>
    <cellStyle name="Normal 400 3 2 4" xfId="30489" xr:uid="{00000000-0005-0000-0000-000019770000}"/>
    <cellStyle name="Normal 400 3 3" xfId="30490" xr:uid="{00000000-0005-0000-0000-00001A770000}"/>
    <cellStyle name="Normal 400 3 3 2" xfId="30491" xr:uid="{00000000-0005-0000-0000-00001B770000}"/>
    <cellStyle name="Normal 400 3 3 2 2" xfId="30492" xr:uid="{00000000-0005-0000-0000-00001C770000}"/>
    <cellStyle name="Normal 400 3 3 3" xfId="30493" xr:uid="{00000000-0005-0000-0000-00001D770000}"/>
    <cellStyle name="Normal 400 3 4" xfId="30494" xr:uid="{00000000-0005-0000-0000-00001E770000}"/>
    <cellStyle name="Normal 400 3 4 2" xfId="30495" xr:uid="{00000000-0005-0000-0000-00001F770000}"/>
    <cellStyle name="Normal 400 3 4 2 2" xfId="30496" xr:uid="{00000000-0005-0000-0000-000020770000}"/>
    <cellStyle name="Normal 400 3 4 3" xfId="30497" xr:uid="{00000000-0005-0000-0000-000021770000}"/>
    <cellStyle name="Normal 400 3 5" xfId="30498" xr:uid="{00000000-0005-0000-0000-000022770000}"/>
    <cellStyle name="Normal 400 3 5 2" xfId="30499" xr:uid="{00000000-0005-0000-0000-000023770000}"/>
    <cellStyle name="Normal 400 3 5 2 2" xfId="30500" xr:uid="{00000000-0005-0000-0000-000024770000}"/>
    <cellStyle name="Normal 400 3 5 3" xfId="30501" xr:uid="{00000000-0005-0000-0000-000025770000}"/>
    <cellStyle name="Normal 400 3 6" xfId="30502" xr:uid="{00000000-0005-0000-0000-000026770000}"/>
    <cellStyle name="Normal 400 4" xfId="30503" xr:uid="{00000000-0005-0000-0000-000027770000}"/>
    <cellStyle name="Normal 400 4 2" xfId="30504" xr:uid="{00000000-0005-0000-0000-000028770000}"/>
    <cellStyle name="Normal 400 4 2 2" xfId="30505" xr:uid="{00000000-0005-0000-0000-000029770000}"/>
    <cellStyle name="Normal 400 4 3" xfId="30506" xr:uid="{00000000-0005-0000-0000-00002A770000}"/>
    <cellStyle name="Normal 400 5" xfId="30507" xr:uid="{00000000-0005-0000-0000-00002B770000}"/>
    <cellStyle name="Normal 400 5 2" xfId="30508" xr:uid="{00000000-0005-0000-0000-00002C770000}"/>
    <cellStyle name="Normal 400 5 2 2" xfId="30509" xr:uid="{00000000-0005-0000-0000-00002D770000}"/>
    <cellStyle name="Normal 400 5 3" xfId="30510" xr:uid="{00000000-0005-0000-0000-00002E770000}"/>
    <cellStyle name="Normal 400 6" xfId="30511" xr:uid="{00000000-0005-0000-0000-00002F770000}"/>
    <cellStyle name="Normal 400 6 2" xfId="30512" xr:uid="{00000000-0005-0000-0000-000030770000}"/>
    <cellStyle name="Normal 400 6 2 2" xfId="30513" xr:uid="{00000000-0005-0000-0000-000031770000}"/>
    <cellStyle name="Normal 400 6 3" xfId="30514" xr:uid="{00000000-0005-0000-0000-000032770000}"/>
    <cellStyle name="Normal 400 7" xfId="30515" xr:uid="{00000000-0005-0000-0000-000033770000}"/>
    <cellStyle name="Normal 401" xfId="30516" xr:uid="{00000000-0005-0000-0000-000034770000}"/>
    <cellStyle name="Normal 401 2" xfId="30517" xr:uid="{00000000-0005-0000-0000-000035770000}"/>
    <cellStyle name="Normal 401 2 2" xfId="30518" xr:uid="{00000000-0005-0000-0000-000036770000}"/>
    <cellStyle name="Normal 401 2 2 2" xfId="30519" xr:uid="{00000000-0005-0000-0000-000037770000}"/>
    <cellStyle name="Normal 401 2 3" xfId="30520" xr:uid="{00000000-0005-0000-0000-000038770000}"/>
    <cellStyle name="Normal 401 2 3 2" xfId="30521" xr:uid="{00000000-0005-0000-0000-000039770000}"/>
    <cellStyle name="Normal 401 2 3 2 2" xfId="30522" xr:uid="{00000000-0005-0000-0000-00003A770000}"/>
    <cellStyle name="Normal 401 2 3 3" xfId="30523" xr:uid="{00000000-0005-0000-0000-00003B770000}"/>
    <cellStyle name="Normal 401 2 4" xfId="30524" xr:uid="{00000000-0005-0000-0000-00003C770000}"/>
    <cellStyle name="Normal 401 2 4 2" xfId="30525" xr:uid="{00000000-0005-0000-0000-00003D770000}"/>
    <cellStyle name="Normal 401 2 4 2 2" xfId="30526" xr:uid="{00000000-0005-0000-0000-00003E770000}"/>
    <cellStyle name="Normal 401 2 4 3" xfId="30527" xr:uid="{00000000-0005-0000-0000-00003F770000}"/>
    <cellStyle name="Normal 401 2 5" xfId="30528" xr:uid="{00000000-0005-0000-0000-000040770000}"/>
    <cellStyle name="Normal 401 3" xfId="30529" xr:uid="{00000000-0005-0000-0000-000041770000}"/>
    <cellStyle name="Normal 401 3 2" xfId="30530" xr:uid="{00000000-0005-0000-0000-000042770000}"/>
    <cellStyle name="Normal 401 3 2 2" xfId="30531" xr:uid="{00000000-0005-0000-0000-000043770000}"/>
    <cellStyle name="Normal 401 3 2 2 2" xfId="30532" xr:uid="{00000000-0005-0000-0000-000044770000}"/>
    <cellStyle name="Normal 401 3 2 3" xfId="30533" xr:uid="{00000000-0005-0000-0000-000045770000}"/>
    <cellStyle name="Normal 401 3 2 3 2" xfId="30534" xr:uid="{00000000-0005-0000-0000-000046770000}"/>
    <cellStyle name="Normal 401 3 2 3 2 2" xfId="30535" xr:uid="{00000000-0005-0000-0000-000047770000}"/>
    <cellStyle name="Normal 401 3 2 3 3" xfId="30536" xr:uid="{00000000-0005-0000-0000-000048770000}"/>
    <cellStyle name="Normal 401 3 2 4" xfId="30537" xr:uid="{00000000-0005-0000-0000-000049770000}"/>
    <cellStyle name="Normal 401 3 3" xfId="30538" xr:uid="{00000000-0005-0000-0000-00004A770000}"/>
    <cellStyle name="Normal 401 3 3 2" xfId="30539" xr:uid="{00000000-0005-0000-0000-00004B770000}"/>
    <cellStyle name="Normal 401 3 3 2 2" xfId="30540" xr:uid="{00000000-0005-0000-0000-00004C770000}"/>
    <cellStyle name="Normal 401 3 3 3" xfId="30541" xr:uid="{00000000-0005-0000-0000-00004D770000}"/>
    <cellStyle name="Normal 401 3 4" xfId="30542" xr:uid="{00000000-0005-0000-0000-00004E770000}"/>
    <cellStyle name="Normal 401 3 4 2" xfId="30543" xr:uid="{00000000-0005-0000-0000-00004F770000}"/>
    <cellStyle name="Normal 401 3 4 2 2" xfId="30544" xr:uid="{00000000-0005-0000-0000-000050770000}"/>
    <cellStyle name="Normal 401 3 4 3" xfId="30545" xr:uid="{00000000-0005-0000-0000-000051770000}"/>
    <cellStyle name="Normal 401 3 5" xfId="30546" xr:uid="{00000000-0005-0000-0000-000052770000}"/>
    <cellStyle name="Normal 401 3 5 2" xfId="30547" xr:uid="{00000000-0005-0000-0000-000053770000}"/>
    <cellStyle name="Normal 401 3 5 2 2" xfId="30548" xr:uid="{00000000-0005-0000-0000-000054770000}"/>
    <cellStyle name="Normal 401 3 5 3" xfId="30549" xr:uid="{00000000-0005-0000-0000-000055770000}"/>
    <cellStyle name="Normal 401 3 6" xfId="30550" xr:uid="{00000000-0005-0000-0000-000056770000}"/>
    <cellStyle name="Normal 401 4" xfId="30551" xr:uid="{00000000-0005-0000-0000-000057770000}"/>
    <cellStyle name="Normal 401 4 2" xfId="30552" xr:uid="{00000000-0005-0000-0000-000058770000}"/>
    <cellStyle name="Normal 401 4 2 2" xfId="30553" xr:uid="{00000000-0005-0000-0000-000059770000}"/>
    <cellStyle name="Normal 401 4 3" xfId="30554" xr:uid="{00000000-0005-0000-0000-00005A770000}"/>
    <cellStyle name="Normal 401 5" xfId="30555" xr:uid="{00000000-0005-0000-0000-00005B770000}"/>
    <cellStyle name="Normal 401 5 2" xfId="30556" xr:uid="{00000000-0005-0000-0000-00005C770000}"/>
    <cellStyle name="Normal 401 5 2 2" xfId="30557" xr:uid="{00000000-0005-0000-0000-00005D770000}"/>
    <cellStyle name="Normal 401 5 3" xfId="30558" xr:uid="{00000000-0005-0000-0000-00005E770000}"/>
    <cellStyle name="Normal 401 6" xfId="30559" xr:uid="{00000000-0005-0000-0000-00005F770000}"/>
    <cellStyle name="Normal 401 6 2" xfId="30560" xr:uid="{00000000-0005-0000-0000-000060770000}"/>
    <cellStyle name="Normal 401 6 2 2" xfId="30561" xr:uid="{00000000-0005-0000-0000-000061770000}"/>
    <cellStyle name="Normal 401 6 3" xfId="30562" xr:uid="{00000000-0005-0000-0000-000062770000}"/>
    <cellStyle name="Normal 401 7" xfId="30563" xr:uid="{00000000-0005-0000-0000-000063770000}"/>
    <cellStyle name="Normal 402" xfId="30564" xr:uid="{00000000-0005-0000-0000-000064770000}"/>
    <cellStyle name="Normal 402 2" xfId="30565" xr:uid="{00000000-0005-0000-0000-000065770000}"/>
    <cellStyle name="Normal 402 2 2" xfId="30566" xr:uid="{00000000-0005-0000-0000-000066770000}"/>
    <cellStyle name="Normal 402 2 2 2" xfId="30567" xr:uid="{00000000-0005-0000-0000-000067770000}"/>
    <cellStyle name="Normal 402 2 3" xfId="30568" xr:uid="{00000000-0005-0000-0000-000068770000}"/>
    <cellStyle name="Normal 402 2 3 2" xfId="30569" xr:uid="{00000000-0005-0000-0000-000069770000}"/>
    <cellStyle name="Normal 402 2 3 2 2" xfId="30570" xr:uid="{00000000-0005-0000-0000-00006A770000}"/>
    <cellStyle name="Normal 402 2 3 3" xfId="30571" xr:uid="{00000000-0005-0000-0000-00006B770000}"/>
    <cellStyle name="Normal 402 2 4" xfId="30572" xr:uid="{00000000-0005-0000-0000-00006C770000}"/>
    <cellStyle name="Normal 402 2 4 2" xfId="30573" xr:uid="{00000000-0005-0000-0000-00006D770000}"/>
    <cellStyle name="Normal 402 2 4 2 2" xfId="30574" xr:uid="{00000000-0005-0000-0000-00006E770000}"/>
    <cellStyle name="Normal 402 2 4 3" xfId="30575" xr:uid="{00000000-0005-0000-0000-00006F770000}"/>
    <cellStyle name="Normal 402 2 5" xfId="30576" xr:uid="{00000000-0005-0000-0000-000070770000}"/>
    <cellStyle name="Normal 402 3" xfId="30577" xr:uid="{00000000-0005-0000-0000-000071770000}"/>
    <cellStyle name="Normal 402 3 2" xfId="30578" xr:uid="{00000000-0005-0000-0000-000072770000}"/>
    <cellStyle name="Normal 402 3 2 2" xfId="30579" xr:uid="{00000000-0005-0000-0000-000073770000}"/>
    <cellStyle name="Normal 402 3 2 2 2" xfId="30580" xr:uid="{00000000-0005-0000-0000-000074770000}"/>
    <cellStyle name="Normal 402 3 2 3" xfId="30581" xr:uid="{00000000-0005-0000-0000-000075770000}"/>
    <cellStyle name="Normal 402 3 2 3 2" xfId="30582" xr:uid="{00000000-0005-0000-0000-000076770000}"/>
    <cellStyle name="Normal 402 3 2 3 2 2" xfId="30583" xr:uid="{00000000-0005-0000-0000-000077770000}"/>
    <cellStyle name="Normal 402 3 2 3 3" xfId="30584" xr:uid="{00000000-0005-0000-0000-000078770000}"/>
    <cellStyle name="Normal 402 3 2 4" xfId="30585" xr:uid="{00000000-0005-0000-0000-000079770000}"/>
    <cellStyle name="Normal 402 3 3" xfId="30586" xr:uid="{00000000-0005-0000-0000-00007A770000}"/>
    <cellStyle name="Normal 402 3 3 2" xfId="30587" xr:uid="{00000000-0005-0000-0000-00007B770000}"/>
    <cellStyle name="Normal 402 3 3 2 2" xfId="30588" xr:uid="{00000000-0005-0000-0000-00007C770000}"/>
    <cellStyle name="Normal 402 3 3 3" xfId="30589" xr:uid="{00000000-0005-0000-0000-00007D770000}"/>
    <cellStyle name="Normal 402 3 4" xfId="30590" xr:uid="{00000000-0005-0000-0000-00007E770000}"/>
    <cellStyle name="Normal 402 3 4 2" xfId="30591" xr:uid="{00000000-0005-0000-0000-00007F770000}"/>
    <cellStyle name="Normal 402 3 4 2 2" xfId="30592" xr:uid="{00000000-0005-0000-0000-000080770000}"/>
    <cellStyle name="Normal 402 3 4 3" xfId="30593" xr:uid="{00000000-0005-0000-0000-000081770000}"/>
    <cellStyle name="Normal 402 3 5" xfId="30594" xr:uid="{00000000-0005-0000-0000-000082770000}"/>
    <cellStyle name="Normal 402 3 5 2" xfId="30595" xr:uid="{00000000-0005-0000-0000-000083770000}"/>
    <cellStyle name="Normal 402 3 5 2 2" xfId="30596" xr:uid="{00000000-0005-0000-0000-000084770000}"/>
    <cellStyle name="Normal 402 3 5 3" xfId="30597" xr:uid="{00000000-0005-0000-0000-000085770000}"/>
    <cellStyle name="Normal 402 3 6" xfId="30598" xr:uid="{00000000-0005-0000-0000-000086770000}"/>
    <cellStyle name="Normal 402 4" xfId="30599" xr:uid="{00000000-0005-0000-0000-000087770000}"/>
    <cellStyle name="Normal 402 4 2" xfId="30600" xr:uid="{00000000-0005-0000-0000-000088770000}"/>
    <cellStyle name="Normal 402 4 2 2" xfId="30601" xr:uid="{00000000-0005-0000-0000-000089770000}"/>
    <cellStyle name="Normal 402 4 3" xfId="30602" xr:uid="{00000000-0005-0000-0000-00008A770000}"/>
    <cellStyle name="Normal 402 5" xfId="30603" xr:uid="{00000000-0005-0000-0000-00008B770000}"/>
    <cellStyle name="Normal 402 5 2" xfId="30604" xr:uid="{00000000-0005-0000-0000-00008C770000}"/>
    <cellStyle name="Normal 402 5 2 2" xfId="30605" xr:uid="{00000000-0005-0000-0000-00008D770000}"/>
    <cellStyle name="Normal 402 5 3" xfId="30606" xr:uid="{00000000-0005-0000-0000-00008E770000}"/>
    <cellStyle name="Normal 402 6" xfId="30607" xr:uid="{00000000-0005-0000-0000-00008F770000}"/>
    <cellStyle name="Normal 402 6 2" xfId="30608" xr:uid="{00000000-0005-0000-0000-000090770000}"/>
    <cellStyle name="Normal 402 6 2 2" xfId="30609" xr:uid="{00000000-0005-0000-0000-000091770000}"/>
    <cellStyle name="Normal 402 6 3" xfId="30610" xr:uid="{00000000-0005-0000-0000-000092770000}"/>
    <cellStyle name="Normal 402 7" xfId="30611" xr:uid="{00000000-0005-0000-0000-000093770000}"/>
    <cellStyle name="Normal 403" xfId="30612" xr:uid="{00000000-0005-0000-0000-000094770000}"/>
    <cellStyle name="Normal 403 2" xfId="30613" xr:uid="{00000000-0005-0000-0000-000095770000}"/>
    <cellStyle name="Normal 403 2 2" xfId="30614" xr:uid="{00000000-0005-0000-0000-000096770000}"/>
    <cellStyle name="Normal 403 2 2 2" xfId="30615" xr:uid="{00000000-0005-0000-0000-000097770000}"/>
    <cellStyle name="Normal 403 2 3" xfId="30616" xr:uid="{00000000-0005-0000-0000-000098770000}"/>
    <cellStyle name="Normal 403 2 3 2" xfId="30617" xr:uid="{00000000-0005-0000-0000-000099770000}"/>
    <cellStyle name="Normal 403 2 3 2 2" xfId="30618" xr:uid="{00000000-0005-0000-0000-00009A770000}"/>
    <cellStyle name="Normal 403 2 3 3" xfId="30619" xr:uid="{00000000-0005-0000-0000-00009B770000}"/>
    <cellStyle name="Normal 403 2 4" xfId="30620" xr:uid="{00000000-0005-0000-0000-00009C770000}"/>
    <cellStyle name="Normal 403 2 4 2" xfId="30621" xr:uid="{00000000-0005-0000-0000-00009D770000}"/>
    <cellStyle name="Normal 403 2 4 2 2" xfId="30622" xr:uid="{00000000-0005-0000-0000-00009E770000}"/>
    <cellStyle name="Normal 403 2 4 3" xfId="30623" xr:uid="{00000000-0005-0000-0000-00009F770000}"/>
    <cellStyle name="Normal 403 2 5" xfId="30624" xr:uid="{00000000-0005-0000-0000-0000A0770000}"/>
    <cellStyle name="Normal 403 3" xfId="30625" xr:uid="{00000000-0005-0000-0000-0000A1770000}"/>
    <cellStyle name="Normal 403 3 2" xfId="30626" xr:uid="{00000000-0005-0000-0000-0000A2770000}"/>
    <cellStyle name="Normal 403 3 2 2" xfId="30627" xr:uid="{00000000-0005-0000-0000-0000A3770000}"/>
    <cellStyle name="Normal 403 3 2 2 2" xfId="30628" xr:uid="{00000000-0005-0000-0000-0000A4770000}"/>
    <cellStyle name="Normal 403 3 2 3" xfId="30629" xr:uid="{00000000-0005-0000-0000-0000A5770000}"/>
    <cellStyle name="Normal 403 3 2 3 2" xfId="30630" xr:uid="{00000000-0005-0000-0000-0000A6770000}"/>
    <cellStyle name="Normal 403 3 2 3 2 2" xfId="30631" xr:uid="{00000000-0005-0000-0000-0000A7770000}"/>
    <cellStyle name="Normal 403 3 2 3 3" xfId="30632" xr:uid="{00000000-0005-0000-0000-0000A8770000}"/>
    <cellStyle name="Normal 403 3 2 4" xfId="30633" xr:uid="{00000000-0005-0000-0000-0000A9770000}"/>
    <cellStyle name="Normal 403 3 3" xfId="30634" xr:uid="{00000000-0005-0000-0000-0000AA770000}"/>
    <cellStyle name="Normal 403 3 3 2" xfId="30635" xr:uid="{00000000-0005-0000-0000-0000AB770000}"/>
    <cellStyle name="Normal 403 3 3 2 2" xfId="30636" xr:uid="{00000000-0005-0000-0000-0000AC770000}"/>
    <cellStyle name="Normal 403 3 3 3" xfId="30637" xr:uid="{00000000-0005-0000-0000-0000AD770000}"/>
    <cellStyle name="Normal 403 3 4" xfId="30638" xr:uid="{00000000-0005-0000-0000-0000AE770000}"/>
    <cellStyle name="Normal 403 3 4 2" xfId="30639" xr:uid="{00000000-0005-0000-0000-0000AF770000}"/>
    <cellStyle name="Normal 403 3 4 2 2" xfId="30640" xr:uid="{00000000-0005-0000-0000-0000B0770000}"/>
    <cellStyle name="Normal 403 3 4 3" xfId="30641" xr:uid="{00000000-0005-0000-0000-0000B1770000}"/>
    <cellStyle name="Normal 403 3 5" xfId="30642" xr:uid="{00000000-0005-0000-0000-0000B2770000}"/>
    <cellStyle name="Normal 403 3 5 2" xfId="30643" xr:uid="{00000000-0005-0000-0000-0000B3770000}"/>
    <cellStyle name="Normal 403 3 5 2 2" xfId="30644" xr:uid="{00000000-0005-0000-0000-0000B4770000}"/>
    <cellStyle name="Normal 403 3 5 3" xfId="30645" xr:uid="{00000000-0005-0000-0000-0000B5770000}"/>
    <cellStyle name="Normal 403 3 6" xfId="30646" xr:uid="{00000000-0005-0000-0000-0000B6770000}"/>
    <cellStyle name="Normal 403 4" xfId="30647" xr:uid="{00000000-0005-0000-0000-0000B7770000}"/>
    <cellStyle name="Normal 403 4 2" xfId="30648" xr:uid="{00000000-0005-0000-0000-0000B8770000}"/>
    <cellStyle name="Normal 403 4 2 2" xfId="30649" xr:uid="{00000000-0005-0000-0000-0000B9770000}"/>
    <cellStyle name="Normal 403 4 3" xfId="30650" xr:uid="{00000000-0005-0000-0000-0000BA770000}"/>
    <cellStyle name="Normal 403 5" xfId="30651" xr:uid="{00000000-0005-0000-0000-0000BB770000}"/>
    <cellStyle name="Normal 403 5 2" xfId="30652" xr:uid="{00000000-0005-0000-0000-0000BC770000}"/>
    <cellStyle name="Normal 403 5 2 2" xfId="30653" xr:uid="{00000000-0005-0000-0000-0000BD770000}"/>
    <cellStyle name="Normal 403 5 3" xfId="30654" xr:uid="{00000000-0005-0000-0000-0000BE770000}"/>
    <cellStyle name="Normal 403 6" xfId="30655" xr:uid="{00000000-0005-0000-0000-0000BF770000}"/>
    <cellStyle name="Normal 403 6 2" xfId="30656" xr:uid="{00000000-0005-0000-0000-0000C0770000}"/>
    <cellStyle name="Normal 403 6 2 2" xfId="30657" xr:uid="{00000000-0005-0000-0000-0000C1770000}"/>
    <cellStyle name="Normal 403 6 3" xfId="30658" xr:uid="{00000000-0005-0000-0000-0000C2770000}"/>
    <cellStyle name="Normal 403 7" xfId="30659" xr:uid="{00000000-0005-0000-0000-0000C3770000}"/>
    <cellStyle name="Normal 404" xfId="30660" xr:uid="{00000000-0005-0000-0000-0000C4770000}"/>
    <cellStyle name="Normal 404 2" xfId="30661" xr:uid="{00000000-0005-0000-0000-0000C5770000}"/>
    <cellStyle name="Normal 404 2 2" xfId="30662" xr:uid="{00000000-0005-0000-0000-0000C6770000}"/>
    <cellStyle name="Normal 404 2 2 2" xfId="30663" xr:uid="{00000000-0005-0000-0000-0000C7770000}"/>
    <cellStyle name="Normal 404 2 3" xfId="30664" xr:uid="{00000000-0005-0000-0000-0000C8770000}"/>
    <cellStyle name="Normal 404 2 3 2" xfId="30665" xr:uid="{00000000-0005-0000-0000-0000C9770000}"/>
    <cellStyle name="Normal 404 2 3 2 2" xfId="30666" xr:uid="{00000000-0005-0000-0000-0000CA770000}"/>
    <cellStyle name="Normal 404 2 3 3" xfId="30667" xr:uid="{00000000-0005-0000-0000-0000CB770000}"/>
    <cellStyle name="Normal 404 2 4" xfId="30668" xr:uid="{00000000-0005-0000-0000-0000CC770000}"/>
    <cellStyle name="Normal 404 2 4 2" xfId="30669" xr:uid="{00000000-0005-0000-0000-0000CD770000}"/>
    <cellStyle name="Normal 404 2 4 2 2" xfId="30670" xr:uid="{00000000-0005-0000-0000-0000CE770000}"/>
    <cellStyle name="Normal 404 2 4 3" xfId="30671" xr:uid="{00000000-0005-0000-0000-0000CF770000}"/>
    <cellStyle name="Normal 404 2 5" xfId="30672" xr:uid="{00000000-0005-0000-0000-0000D0770000}"/>
    <cellStyle name="Normal 404 3" xfId="30673" xr:uid="{00000000-0005-0000-0000-0000D1770000}"/>
    <cellStyle name="Normal 404 3 2" xfId="30674" xr:uid="{00000000-0005-0000-0000-0000D2770000}"/>
    <cellStyle name="Normal 404 3 2 2" xfId="30675" xr:uid="{00000000-0005-0000-0000-0000D3770000}"/>
    <cellStyle name="Normal 404 3 2 2 2" xfId="30676" xr:uid="{00000000-0005-0000-0000-0000D4770000}"/>
    <cellStyle name="Normal 404 3 2 3" xfId="30677" xr:uid="{00000000-0005-0000-0000-0000D5770000}"/>
    <cellStyle name="Normal 404 3 2 3 2" xfId="30678" xr:uid="{00000000-0005-0000-0000-0000D6770000}"/>
    <cellStyle name="Normal 404 3 2 3 2 2" xfId="30679" xr:uid="{00000000-0005-0000-0000-0000D7770000}"/>
    <cellStyle name="Normal 404 3 2 3 3" xfId="30680" xr:uid="{00000000-0005-0000-0000-0000D8770000}"/>
    <cellStyle name="Normal 404 3 2 4" xfId="30681" xr:uid="{00000000-0005-0000-0000-0000D9770000}"/>
    <cellStyle name="Normal 404 3 3" xfId="30682" xr:uid="{00000000-0005-0000-0000-0000DA770000}"/>
    <cellStyle name="Normal 404 3 3 2" xfId="30683" xr:uid="{00000000-0005-0000-0000-0000DB770000}"/>
    <cellStyle name="Normal 404 3 3 2 2" xfId="30684" xr:uid="{00000000-0005-0000-0000-0000DC770000}"/>
    <cellStyle name="Normal 404 3 3 3" xfId="30685" xr:uid="{00000000-0005-0000-0000-0000DD770000}"/>
    <cellStyle name="Normal 404 3 4" xfId="30686" xr:uid="{00000000-0005-0000-0000-0000DE770000}"/>
    <cellStyle name="Normal 404 3 4 2" xfId="30687" xr:uid="{00000000-0005-0000-0000-0000DF770000}"/>
    <cellStyle name="Normal 404 3 4 2 2" xfId="30688" xr:uid="{00000000-0005-0000-0000-0000E0770000}"/>
    <cellStyle name="Normal 404 3 4 3" xfId="30689" xr:uid="{00000000-0005-0000-0000-0000E1770000}"/>
    <cellStyle name="Normal 404 3 5" xfId="30690" xr:uid="{00000000-0005-0000-0000-0000E2770000}"/>
    <cellStyle name="Normal 404 3 5 2" xfId="30691" xr:uid="{00000000-0005-0000-0000-0000E3770000}"/>
    <cellStyle name="Normal 404 3 5 2 2" xfId="30692" xr:uid="{00000000-0005-0000-0000-0000E4770000}"/>
    <cellStyle name="Normal 404 3 5 3" xfId="30693" xr:uid="{00000000-0005-0000-0000-0000E5770000}"/>
    <cellStyle name="Normal 404 3 6" xfId="30694" xr:uid="{00000000-0005-0000-0000-0000E6770000}"/>
    <cellStyle name="Normal 404 4" xfId="30695" xr:uid="{00000000-0005-0000-0000-0000E7770000}"/>
    <cellStyle name="Normal 404 4 2" xfId="30696" xr:uid="{00000000-0005-0000-0000-0000E8770000}"/>
    <cellStyle name="Normal 404 4 2 2" xfId="30697" xr:uid="{00000000-0005-0000-0000-0000E9770000}"/>
    <cellStyle name="Normal 404 4 3" xfId="30698" xr:uid="{00000000-0005-0000-0000-0000EA770000}"/>
    <cellStyle name="Normal 404 5" xfId="30699" xr:uid="{00000000-0005-0000-0000-0000EB770000}"/>
    <cellStyle name="Normal 404 5 2" xfId="30700" xr:uid="{00000000-0005-0000-0000-0000EC770000}"/>
    <cellStyle name="Normal 404 5 2 2" xfId="30701" xr:uid="{00000000-0005-0000-0000-0000ED770000}"/>
    <cellStyle name="Normal 404 5 3" xfId="30702" xr:uid="{00000000-0005-0000-0000-0000EE770000}"/>
    <cellStyle name="Normal 404 6" xfId="30703" xr:uid="{00000000-0005-0000-0000-0000EF770000}"/>
    <cellStyle name="Normal 404 6 2" xfId="30704" xr:uid="{00000000-0005-0000-0000-0000F0770000}"/>
    <cellStyle name="Normal 404 6 2 2" xfId="30705" xr:uid="{00000000-0005-0000-0000-0000F1770000}"/>
    <cellStyle name="Normal 404 6 3" xfId="30706" xr:uid="{00000000-0005-0000-0000-0000F2770000}"/>
    <cellStyle name="Normal 404 7" xfId="30707" xr:uid="{00000000-0005-0000-0000-0000F3770000}"/>
    <cellStyle name="Normal 405" xfId="30708" xr:uid="{00000000-0005-0000-0000-0000F4770000}"/>
    <cellStyle name="Normal 405 2" xfId="30709" xr:uid="{00000000-0005-0000-0000-0000F5770000}"/>
    <cellStyle name="Normal 405 2 2" xfId="30710" xr:uid="{00000000-0005-0000-0000-0000F6770000}"/>
    <cellStyle name="Normal 405 2 2 2" xfId="30711" xr:uid="{00000000-0005-0000-0000-0000F7770000}"/>
    <cellStyle name="Normal 405 2 3" xfId="30712" xr:uid="{00000000-0005-0000-0000-0000F8770000}"/>
    <cellStyle name="Normal 405 2 3 2" xfId="30713" xr:uid="{00000000-0005-0000-0000-0000F9770000}"/>
    <cellStyle name="Normal 405 2 3 2 2" xfId="30714" xr:uid="{00000000-0005-0000-0000-0000FA770000}"/>
    <cellStyle name="Normal 405 2 3 3" xfId="30715" xr:uid="{00000000-0005-0000-0000-0000FB770000}"/>
    <cellStyle name="Normal 405 2 4" xfId="30716" xr:uid="{00000000-0005-0000-0000-0000FC770000}"/>
    <cellStyle name="Normal 405 2 4 2" xfId="30717" xr:uid="{00000000-0005-0000-0000-0000FD770000}"/>
    <cellStyle name="Normal 405 2 4 2 2" xfId="30718" xr:uid="{00000000-0005-0000-0000-0000FE770000}"/>
    <cellStyle name="Normal 405 2 4 3" xfId="30719" xr:uid="{00000000-0005-0000-0000-0000FF770000}"/>
    <cellStyle name="Normal 405 2 5" xfId="30720" xr:uid="{00000000-0005-0000-0000-000000780000}"/>
    <cellStyle name="Normal 405 3" xfId="30721" xr:uid="{00000000-0005-0000-0000-000001780000}"/>
    <cellStyle name="Normal 405 3 2" xfId="30722" xr:uid="{00000000-0005-0000-0000-000002780000}"/>
    <cellStyle name="Normal 405 3 2 2" xfId="30723" xr:uid="{00000000-0005-0000-0000-000003780000}"/>
    <cellStyle name="Normal 405 3 2 2 2" xfId="30724" xr:uid="{00000000-0005-0000-0000-000004780000}"/>
    <cellStyle name="Normal 405 3 2 3" xfId="30725" xr:uid="{00000000-0005-0000-0000-000005780000}"/>
    <cellStyle name="Normal 405 3 2 3 2" xfId="30726" xr:uid="{00000000-0005-0000-0000-000006780000}"/>
    <cellStyle name="Normal 405 3 2 3 2 2" xfId="30727" xr:uid="{00000000-0005-0000-0000-000007780000}"/>
    <cellStyle name="Normal 405 3 2 3 3" xfId="30728" xr:uid="{00000000-0005-0000-0000-000008780000}"/>
    <cellStyle name="Normal 405 3 2 4" xfId="30729" xr:uid="{00000000-0005-0000-0000-000009780000}"/>
    <cellStyle name="Normal 405 3 3" xfId="30730" xr:uid="{00000000-0005-0000-0000-00000A780000}"/>
    <cellStyle name="Normal 405 3 3 2" xfId="30731" xr:uid="{00000000-0005-0000-0000-00000B780000}"/>
    <cellStyle name="Normal 405 3 3 2 2" xfId="30732" xr:uid="{00000000-0005-0000-0000-00000C780000}"/>
    <cellStyle name="Normal 405 3 3 3" xfId="30733" xr:uid="{00000000-0005-0000-0000-00000D780000}"/>
    <cellStyle name="Normal 405 3 4" xfId="30734" xr:uid="{00000000-0005-0000-0000-00000E780000}"/>
    <cellStyle name="Normal 405 3 4 2" xfId="30735" xr:uid="{00000000-0005-0000-0000-00000F780000}"/>
    <cellStyle name="Normal 405 3 4 2 2" xfId="30736" xr:uid="{00000000-0005-0000-0000-000010780000}"/>
    <cellStyle name="Normal 405 3 4 3" xfId="30737" xr:uid="{00000000-0005-0000-0000-000011780000}"/>
    <cellStyle name="Normal 405 3 5" xfId="30738" xr:uid="{00000000-0005-0000-0000-000012780000}"/>
    <cellStyle name="Normal 405 3 5 2" xfId="30739" xr:uid="{00000000-0005-0000-0000-000013780000}"/>
    <cellStyle name="Normal 405 3 5 2 2" xfId="30740" xr:uid="{00000000-0005-0000-0000-000014780000}"/>
    <cellStyle name="Normal 405 3 5 3" xfId="30741" xr:uid="{00000000-0005-0000-0000-000015780000}"/>
    <cellStyle name="Normal 405 3 6" xfId="30742" xr:uid="{00000000-0005-0000-0000-000016780000}"/>
    <cellStyle name="Normal 405 4" xfId="30743" xr:uid="{00000000-0005-0000-0000-000017780000}"/>
    <cellStyle name="Normal 405 4 2" xfId="30744" xr:uid="{00000000-0005-0000-0000-000018780000}"/>
    <cellStyle name="Normal 405 4 2 2" xfId="30745" xr:uid="{00000000-0005-0000-0000-000019780000}"/>
    <cellStyle name="Normal 405 4 3" xfId="30746" xr:uid="{00000000-0005-0000-0000-00001A780000}"/>
    <cellStyle name="Normal 405 5" xfId="30747" xr:uid="{00000000-0005-0000-0000-00001B780000}"/>
    <cellStyle name="Normal 405 5 2" xfId="30748" xr:uid="{00000000-0005-0000-0000-00001C780000}"/>
    <cellStyle name="Normal 405 5 2 2" xfId="30749" xr:uid="{00000000-0005-0000-0000-00001D780000}"/>
    <cellStyle name="Normal 405 5 3" xfId="30750" xr:uid="{00000000-0005-0000-0000-00001E780000}"/>
    <cellStyle name="Normal 405 6" xfId="30751" xr:uid="{00000000-0005-0000-0000-00001F780000}"/>
    <cellStyle name="Normal 405 6 2" xfId="30752" xr:uid="{00000000-0005-0000-0000-000020780000}"/>
    <cellStyle name="Normal 405 6 2 2" xfId="30753" xr:uid="{00000000-0005-0000-0000-000021780000}"/>
    <cellStyle name="Normal 405 6 3" xfId="30754" xr:uid="{00000000-0005-0000-0000-000022780000}"/>
    <cellStyle name="Normal 405 7" xfId="30755" xr:uid="{00000000-0005-0000-0000-000023780000}"/>
    <cellStyle name="Normal 406" xfId="30756" xr:uid="{00000000-0005-0000-0000-000024780000}"/>
    <cellStyle name="Normal 406 2" xfId="30757" xr:uid="{00000000-0005-0000-0000-000025780000}"/>
    <cellStyle name="Normal 406 2 2" xfId="30758" xr:uid="{00000000-0005-0000-0000-000026780000}"/>
    <cellStyle name="Normal 406 2 2 2" xfId="30759" xr:uid="{00000000-0005-0000-0000-000027780000}"/>
    <cellStyle name="Normal 406 2 3" xfId="30760" xr:uid="{00000000-0005-0000-0000-000028780000}"/>
    <cellStyle name="Normal 406 2 3 2" xfId="30761" xr:uid="{00000000-0005-0000-0000-000029780000}"/>
    <cellStyle name="Normal 406 2 3 2 2" xfId="30762" xr:uid="{00000000-0005-0000-0000-00002A780000}"/>
    <cellStyle name="Normal 406 2 3 3" xfId="30763" xr:uid="{00000000-0005-0000-0000-00002B780000}"/>
    <cellStyle name="Normal 406 2 4" xfId="30764" xr:uid="{00000000-0005-0000-0000-00002C780000}"/>
    <cellStyle name="Normal 406 2 4 2" xfId="30765" xr:uid="{00000000-0005-0000-0000-00002D780000}"/>
    <cellStyle name="Normal 406 2 4 2 2" xfId="30766" xr:uid="{00000000-0005-0000-0000-00002E780000}"/>
    <cellStyle name="Normal 406 2 4 3" xfId="30767" xr:uid="{00000000-0005-0000-0000-00002F780000}"/>
    <cellStyle name="Normal 406 2 5" xfId="30768" xr:uid="{00000000-0005-0000-0000-000030780000}"/>
    <cellStyle name="Normal 406 3" xfId="30769" xr:uid="{00000000-0005-0000-0000-000031780000}"/>
    <cellStyle name="Normal 406 3 2" xfId="30770" xr:uid="{00000000-0005-0000-0000-000032780000}"/>
    <cellStyle name="Normal 406 3 2 2" xfId="30771" xr:uid="{00000000-0005-0000-0000-000033780000}"/>
    <cellStyle name="Normal 406 3 2 2 2" xfId="30772" xr:uid="{00000000-0005-0000-0000-000034780000}"/>
    <cellStyle name="Normal 406 3 2 3" xfId="30773" xr:uid="{00000000-0005-0000-0000-000035780000}"/>
    <cellStyle name="Normal 406 3 2 3 2" xfId="30774" xr:uid="{00000000-0005-0000-0000-000036780000}"/>
    <cellStyle name="Normal 406 3 2 3 2 2" xfId="30775" xr:uid="{00000000-0005-0000-0000-000037780000}"/>
    <cellStyle name="Normal 406 3 2 3 3" xfId="30776" xr:uid="{00000000-0005-0000-0000-000038780000}"/>
    <cellStyle name="Normal 406 3 2 4" xfId="30777" xr:uid="{00000000-0005-0000-0000-000039780000}"/>
    <cellStyle name="Normal 406 3 3" xfId="30778" xr:uid="{00000000-0005-0000-0000-00003A780000}"/>
    <cellStyle name="Normal 406 3 3 2" xfId="30779" xr:uid="{00000000-0005-0000-0000-00003B780000}"/>
    <cellStyle name="Normal 406 3 3 2 2" xfId="30780" xr:uid="{00000000-0005-0000-0000-00003C780000}"/>
    <cellStyle name="Normal 406 3 3 3" xfId="30781" xr:uid="{00000000-0005-0000-0000-00003D780000}"/>
    <cellStyle name="Normal 406 3 4" xfId="30782" xr:uid="{00000000-0005-0000-0000-00003E780000}"/>
    <cellStyle name="Normal 406 3 4 2" xfId="30783" xr:uid="{00000000-0005-0000-0000-00003F780000}"/>
    <cellStyle name="Normal 406 3 4 2 2" xfId="30784" xr:uid="{00000000-0005-0000-0000-000040780000}"/>
    <cellStyle name="Normal 406 3 4 3" xfId="30785" xr:uid="{00000000-0005-0000-0000-000041780000}"/>
    <cellStyle name="Normal 406 3 5" xfId="30786" xr:uid="{00000000-0005-0000-0000-000042780000}"/>
    <cellStyle name="Normal 406 3 5 2" xfId="30787" xr:uid="{00000000-0005-0000-0000-000043780000}"/>
    <cellStyle name="Normal 406 3 5 2 2" xfId="30788" xr:uid="{00000000-0005-0000-0000-000044780000}"/>
    <cellStyle name="Normal 406 3 5 3" xfId="30789" xr:uid="{00000000-0005-0000-0000-000045780000}"/>
    <cellStyle name="Normal 406 3 6" xfId="30790" xr:uid="{00000000-0005-0000-0000-000046780000}"/>
    <cellStyle name="Normal 406 4" xfId="30791" xr:uid="{00000000-0005-0000-0000-000047780000}"/>
    <cellStyle name="Normal 406 4 2" xfId="30792" xr:uid="{00000000-0005-0000-0000-000048780000}"/>
    <cellStyle name="Normal 406 4 2 2" xfId="30793" xr:uid="{00000000-0005-0000-0000-000049780000}"/>
    <cellStyle name="Normal 406 4 3" xfId="30794" xr:uid="{00000000-0005-0000-0000-00004A780000}"/>
    <cellStyle name="Normal 406 5" xfId="30795" xr:uid="{00000000-0005-0000-0000-00004B780000}"/>
    <cellStyle name="Normal 406 5 2" xfId="30796" xr:uid="{00000000-0005-0000-0000-00004C780000}"/>
    <cellStyle name="Normal 406 5 2 2" xfId="30797" xr:uid="{00000000-0005-0000-0000-00004D780000}"/>
    <cellStyle name="Normal 406 5 3" xfId="30798" xr:uid="{00000000-0005-0000-0000-00004E780000}"/>
    <cellStyle name="Normal 406 6" xfId="30799" xr:uid="{00000000-0005-0000-0000-00004F780000}"/>
    <cellStyle name="Normal 406 6 2" xfId="30800" xr:uid="{00000000-0005-0000-0000-000050780000}"/>
    <cellStyle name="Normal 406 6 2 2" xfId="30801" xr:uid="{00000000-0005-0000-0000-000051780000}"/>
    <cellStyle name="Normal 406 6 3" xfId="30802" xr:uid="{00000000-0005-0000-0000-000052780000}"/>
    <cellStyle name="Normal 406 7" xfId="30803" xr:uid="{00000000-0005-0000-0000-000053780000}"/>
    <cellStyle name="Normal 407" xfId="30804" xr:uid="{00000000-0005-0000-0000-000054780000}"/>
    <cellStyle name="Normal 407 2" xfId="30805" xr:uid="{00000000-0005-0000-0000-000055780000}"/>
    <cellStyle name="Normal 407 2 2" xfId="30806" xr:uid="{00000000-0005-0000-0000-000056780000}"/>
    <cellStyle name="Normal 407 2 2 2" xfId="30807" xr:uid="{00000000-0005-0000-0000-000057780000}"/>
    <cellStyle name="Normal 407 2 3" xfId="30808" xr:uid="{00000000-0005-0000-0000-000058780000}"/>
    <cellStyle name="Normal 407 2 3 2" xfId="30809" xr:uid="{00000000-0005-0000-0000-000059780000}"/>
    <cellStyle name="Normal 407 2 3 2 2" xfId="30810" xr:uid="{00000000-0005-0000-0000-00005A780000}"/>
    <cellStyle name="Normal 407 2 3 3" xfId="30811" xr:uid="{00000000-0005-0000-0000-00005B780000}"/>
    <cellStyle name="Normal 407 2 4" xfId="30812" xr:uid="{00000000-0005-0000-0000-00005C780000}"/>
    <cellStyle name="Normal 407 2 4 2" xfId="30813" xr:uid="{00000000-0005-0000-0000-00005D780000}"/>
    <cellStyle name="Normal 407 2 4 2 2" xfId="30814" xr:uid="{00000000-0005-0000-0000-00005E780000}"/>
    <cellStyle name="Normal 407 2 4 3" xfId="30815" xr:uid="{00000000-0005-0000-0000-00005F780000}"/>
    <cellStyle name="Normal 407 2 5" xfId="30816" xr:uid="{00000000-0005-0000-0000-000060780000}"/>
    <cellStyle name="Normal 407 3" xfId="30817" xr:uid="{00000000-0005-0000-0000-000061780000}"/>
    <cellStyle name="Normal 407 3 2" xfId="30818" xr:uid="{00000000-0005-0000-0000-000062780000}"/>
    <cellStyle name="Normal 407 3 2 2" xfId="30819" xr:uid="{00000000-0005-0000-0000-000063780000}"/>
    <cellStyle name="Normal 407 3 2 2 2" xfId="30820" xr:uid="{00000000-0005-0000-0000-000064780000}"/>
    <cellStyle name="Normal 407 3 2 3" xfId="30821" xr:uid="{00000000-0005-0000-0000-000065780000}"/>
    <cellStyle name="Normal 407 3 2 3 2" xfId="30822" xr:uid="{00000000-0005-0000-0000-000066780000}"/>
    <cellStyle name="Normal 407 3 2 3 2 2" xfId="30823" xr:uid="{00000000-0005-0000-0000-000067780000}"/>
    <cellStyle name="Normal 407 3 2 3 3" xfId="30824" xr:uid="{00000000-0005-0000-0000-000068780000}"/>
    <cellStyle name="Normal 407 3 2 4" xfId="30825" xr:uid="{00000000-0005-0000-0000-000069780000}"/>
    <cellStyle name="Normal 407 3 3" xfId="30826" xr:uid="{00000000-0005-0000-0000-00006A780000}"/>
    <cellStyle name="Normal 407 3 3 2" xfId="30827" xr:uid="{00000000-0005-0000-0000-00006B780000}"/>
    <cellStyle name="Normal 407 3 3 2 2" xfId="30828" xr:uid="{00000000-0005-0000-0000-00006C780000}"/>
    <cellStyle name="Normal 407 3 3 3" xfId="30829" xr:uid="{00000000-0005-0000-0000-00006D780000}"/>
    <cellStyle name="Normal 407 3 4" xfId="30830" xr:uid="{00000000-0005-0000-0000-00006E780000}"/>
    <cellStyle name="Normal 407 3 4 2" xfId="30831" xr:uid="{00000000-0005-0000-0000-00006F780000}"/>
    <cellStyle name="Normal 407 3 4 2 2" xfId="30832" xr:uid="{00000000-0005-0000-0000-000070780000}"/>
    <cellStyle name="Normal 407 3 4 3" xfId="30833" xr:uid="{00000000-0005-0000-0000-000071780000}"/>
    <cellStyle name="Normal 407 3 5" xfId="30834" xr:uid="{00000000-0005-0000-0000-000072780000}"/>
    <cellStyle name="Normal 407 3 5 2" xfId="30835" xr:uid="{00000000-0005-0000-0000-000073780000}"/>
    <cellStyle name="Normal 407 3 5 2 2" xfId="30836" xr:uid="{00000000-0005-0000-0000-000074780000}"/>
    <cellStyle name="Normal 407 3 5 3" xfId="30837" xr:uid="{00000000-0005-0000-0000-000075780000}"/>
    <cellStyle name="Normal 407 3 6" xfId="30838" xr:uid="{00000000-0005-0000-0000-000076780000}"/>
    <cellStyle name="Normal 407 4" xfId="30839" xr:uid="{00000000-0005-0000-0000-000077780000}"/>
    <cellStyle name="Normal 407 4 2" xfId="30840" xr:uid="{00000000-0005-0000-0000-000078780000}"/>
    <cellStyle name="Normal 407 4 2 2" xfId="30841" xr:uid="{00000000-0005-0000-0000-000079780000}"/>
    <cellStyle name="Normal 407 4 3" xfId="30842" xr:uid="{00000000-0005-0000-0000-00007A780000}"/>
    <cellStyle name="Normal 407 5" xfId="30843" xr:uid="{00000000-0005-0000-0000-00007B780000}"/>
    <cellStyle name="Normal 407 5 2" xfId="30844" xr:uid="{00000000-0005-0000-0000-00007C780000}"/>
    <cellStyle name="Normal 407 5 2 2" xfId="30845" xr:uid="{00000000-0005-0000-0000-00007D780000}"/>
    <cellStyle name="Normal 407 5 3" xfId="30846" xr:uid="{00000000-0005-0000-0000-00007E780000}"/>
    <cellStyle name="Normal 407 6" xfId="30847" xr:uid="{00000000-0005-0000-0000-00007F780000}"/>
    <cellStyle name="Normal 407 6 2" xfId="30848" xr:uid="{00000000-0005-0000-0000-000080780000}"/>
    <cellStyle name="Normal 407 6 2 2" xfId="30849" xr:uid="{00000000-0005-0000-0000-000081780000}"/>
    <cellStyle name="Normal 407 6 3" xfId="30850" xr:uid="{00000000-0005-0000-0000-000082780000}"/>
    <cellStyle name="Normal 407 7" xfId="30851" xr:uid="{00000000-0005-0000-0000-000083780000}"/>
    <cellStyle name="Normal 408" xfId="30852" xr:uid="{00000000-0005-0000-0000-000084780000}"/>
    <cellStyle name="Normal 408 2" xfId="30853" xr:uid="{00000000-0005-0000-0000-000085780000}"/>
    <cellStyle name="Normal 408 2 2" xfId="30854" xr:uid="{00000000-0005-0000-0000-000086780000}"/>
    <cellStyle name="Normal 408 2 2 2" xfId="30855" xr:uid="{00000000-0005-0000-0000-000087780000}"/>
    <cellStyle name="Normal 408 2 3" xfId="30856" xr:uid="{00000000-0005-0000-0000-000088780000}"/>
    <cellStyle name="Normal 408 2 3 2" xfId="30857" xr:uid="{00000000-0005-0000-0000-000089780000}"/>
    <cellStyle name="Normal 408 2 3 2 2" xfId="30858" xr:uid="{00000000-0005-0000-0000-00008A780000}"/>
    <cellStyle name="Normal 408 2 3 3" xfId="30859" xr:uid="{00000000-0005-0000-0000-00008B780000}"/>
    <cellStyle name="Normal 408 2 4" xfId="30860" xr:uid="{00000000-0005-0000-0000-00008C780000}"/>
    <cellStyle name="Normal 408 2 4 2" xfId="30861" xr:uid="{00000000-0005-0000-0000-00008D780000}"/>
    <cellStyle name="Normal 408 2 4 2 2" xfId="30862" xr:uid="{00000000-0005-0000-0000-00008E780000}"/>
    <cellStyle name="Normal 408 2 4 3" xfId="30863" xr:uid="{00000000-0005-0000-0000-00008F780000}"/>
    <cellStyle name="Normal 408 2 5" xfId="30864" xr:uid="{00000000-0005-0000-0000-000090780000}"/>
    <cellStyle name="Normal 408 3" xfId="30865" xr:uid="{00000000-0005-0000-0000-000091780000}"/>
    <cellStyle name="Normal 408 3 2" xfId="30866" xr:uid="{00000000-0005-0000-0000-000092780000}"/>
    <cellStyle name="Normal 408 3 2 2" xfId="30867" xr:uid="{00000000-0005-0000-0000-000093780000}"/>
    <cellStyle name="Normal 408 3 2 2 2" xfId="30868" xr:uid="{00000000-0005-0000-0000-000094780000}"/>
    <cellStyle name="Normal 408 3 2 3" xfId="30869" xr:uid="{00000000-0005-0000-0000-000095780000}"/>
    <cellStyle name="Normal 408 3 2 3 2" xfId="30870" xr:uid="{00000000-0005-0000-0000-000096780000}"/>
    <cellStyle name="Normal 408 3 2 3 2 2" xfId="30871" xr:uid="{00000000-0005-0000-0000-000097780000}"/>
    <cellStyle name="Normal 408 3 2 3 3" xfId="30872" xr:uid="{00000000-0005-0000-0000-000098780000}"/>
    <cellStyle name="Normal 408 3 2 4" xfId="30873" xr:uid="{00000000-0005-0000-0000-000099780000}"/>
    <cellStyle name="Normal 408 3 3" xfId="30874" xr:uid="{00000000-0005-0000-0000-00009A780000}"/>
    <cellStyle name="Normal 408 3 3 2" xfId="30875" xr:uid="{00000000-0005-0000-0000-00009B780000}"/>
    <cellStyle name="Normal 408 3 3 2 2" xfId="30876" xr:uid="{00000000-0005-0000-0000-00009C780000}"/>
    <cellStyle name="Normal 408 3 3 3" xfId="30877" xr:uid="{00000000-0005-0000-0000-00009D780000}"/>
    <cellStyle name="Normal 408 3 4" xfId="30878" xr:uid="{00000000-0005-0000-0000-00009E780000}"/>
    <cellStyle name="Normal 408 3 4 2" xfId="30879" xr:uid="{00000000-0005-0000-0000-00009F780000}"/>
    <cellStyle name="Normal 408 3 4 2 2" xfId="30880" xr:uid="{00000000-0005-0000-0000-0000A0780000}"/>
    <cellStyle name="Normal 408 3 4 3" xfId="30881" xr:uid="{00000000-0005-0000-0000-0000A1780000}"/>
    <cellStyle name="Normal 408 3 5" xfId="30882" xr:uid="{00000000-0005-0000-0000-0000A2780000}"/>
    <cellStyle name="Normal 408 3 5 2" xfId="30883" xr:uid="{00000000-0005-0000-0000-0000A3780000}"/>
    <cellStyle name="Normal 408 3 5 2 2" xfId="30884" xr:uid="{00000000-0005-0000-0000-0000A4780000}"/>
    <cellStyle name="Normal 408 3 5 3" xfId="30885" xr:uid="{00000000-0005-0000-0000-0000A5780000}"/>
    <cellStyle name="Normal 408 3 6" xfId="30886" xr:uid="{00000000-0005-0000-0000-0000A6780000}"/>
    <cellStyle name="Normal 408 4" xfId="30887" xr:uid="{00000000-0005-0000-0000-0000A7780000}"/>
    <cellStyle name="Normal 408 4 2" xfId="30888" xr:uid="{00000000-0005-0000-0000-0000A8780000}"/>
    <cellStyle name="Normal 408 4 2 2" xfId="30889" xr:uid="{00000000-0005-0000-0000-0000A9780000}"/>
    <cellStyle name="Normal 408 4 3" xfId="30890" xr:uid="{00000000-0005-0000-0000-0000AA780000}"/>
    <cellStyle name="Normal 408 5" xfId="30891" xr:uid="{00000000-0005-0000-0000-0000AB780000}"/>
    <cellStyle name="Normal 408 5 2" xfId="30892" xr:uid="{00000000-0005-0000-0000-0000AC780000}"/>
    <cellStyle name="Normal 408 5 2 2" xfId="30893" xr:uid="{00000000-0005-0000-0000-0000AD780000}"/>
    <cellStyle name="Normal 408 5 3" xfId="30894" xr:uid="{00000000-0005-0000-0000-0000AE780000}"/>
    <cellStyle name="Normal 408 6" xfId="30895" xr:uid="{00000000-0005-0000-0000-0000AF780000}"/>
    <cellStyle name="Normal 408 6 2" xfId="30896" xr:uid="{00000000-0005-0000-0000-0000B0780000}"/>
    <cellStyle name="Normal 408 6 2 2" xfId="30897" xr:uid="{00000000-0005-0000-0000-0000B1780000}"/>
    <cellStyle name="Normal 408 6 3" xfId="30898" xr:uid="{00000000-0005-0000-0000-0000B2780000}"/>
    <cellStyle name="Normal 408 7" xfId="30899" xr:uid="{00000000-0005-0000-0000-0000B3780000}"/>
    <cellStyle name="Normal 409" xfId="30900" xr:uid="{00000000-0005-0000-0000-0000B4780000}"/>
    <cellStyle name="Normal 409 2" xfId="30901" xr:uid="{00000000-0005-0000-0000-0000B5780000}"/>
    <cellStyle name="Normal 409 2 2" xfId="30902" xr:uid="{00000000-0005-0000-0000-0000B6780000}"/>
    <cellStyle name="Normal 409 2 2 2" xfId="30903" xr:uid="{00000000-0005-0000-0000-0000B7780000}"/>
    <cellStyle name="Normal 409 2 3" xfId="30904" xr:uid="{00000000-0005-0000-0000-0000B8780000}"/>
    <cellStyle name="Normal 409 2 3 2" xfId="30905" xr:uid="{00000000-0005-0000-0000-0000B9780000}"/>
    <cellStyle name="Normal 409 2 3 2 2" xfId="30906" xr:uid="{00000000-0005-0000-0000-0000BA780000}"/>
    <cellStyle name="Normal 409 2 3 3" xfId="30907" xr:uid="{00000000-0005-0000-0000-0000BB780000}"/>
    <cellStyle name="Normal 409 2 4" xfId="30908" xr:uid="{00000000-0005-0000-0000-0000BC780000}"/>
    <cellStyle name="Normal 409 2 4 2" xfId="30909" xr:uid="{00000000-0005-0000-0000-0000BD780000}"/>
    <cellStyle name="Normal 409 2 4 2 2" xfId="30910" xr:uid="{00000000-0005-0000-0000-0000BE780000}"/>
    <cellStyle name="Normal 409 2 4 3" xfId="30911" xr:uid="{00000000-0005-0000-0000-0000BF780000}"/>
    <cellStyle name="Normal 409 2 5" xfId="30912" xr:uid="{00000000-0005-0000-0000-0000C0780000}"/>
    <cellStyle name="Normal 409 3" xfId="30913" xr:uid="{00000000-0005-0000-0000-0000C1780000}"/>
    <cellStyle name="Normal 409 3 2" xfId="30914" xr:uid="{00000000-0005-0000-0000-0000C2780000}"/>
    <cellStyle name="Normal 409 3 2 2" xfId="30915" xr:uid="{00000000-0005-0000-0000-0000C3780000}"/>
    <cellStyle name="Normal 409 3 2 2 2" xfId="30916" xr:uid="{00000000-0005-0000-0000-0000C4780000}"/>
    <cellStyle name="Normal 409 3 2 3" xfId="30917" xr:uid="{00000000-0005-0000-0000-0000C5780000}"/>
    <cellStyle name="Normal 409 3 2 3 2" xfId="30918" xr:uid="{00000000-0005-0000-0000-0000C6780000}"/>
    <cellStyle name="Normal 409 3 2 3 2 2" xfId="30919" xr:uid="{00000000-0005-0000-0000-0000C7780000}"/>
    <cellStyle name="Normal 409 3 2 3 3" xfId="30920" xr:uid="{00000000-0005-0000-0000-0000C8780000}"/>
    <cellStyle name="Normal 409 3 2 4" xfId="30921" xr:uid="{00000000-0005-0000-0000-0000C9780000}"/>
    <cellStyle name="Normal 409 3 3" xfId="30922" xr:uid="{00000000-0005-0000-0000-0000CA780000}"/>
    <cellStyle name="Normal 409 3 3 2" xfId="30923" xr:uid="{00000000-0005-0000-0000-0000CB780000}"/>
    <cellStyle name="Normal 409 3 3 2 2" xfId="30924" xr:uid="{00000000-0005-0000-0000-0000CC780000}"/>
    <cellStyle name="Normal 409 3 3 3" xfId="30925" xr:uid="{00000000-0005-0000-0000-0000CD780000}"/>
    <cellStyle name="Normal 409 3 4" xfId="30926" xr:uid="{00000000-0005-0000-0000-0000CE780000}"/>
    <cellStyle name="Normal 409 3 4 2" xfId="30927" xr:uid="{00000000-0005-0000-0000-0000CF780000}"/>
    <cellStyle name="Normal 409 3 4 2 2" xfId="30928" xr:uid="{00000000-0005-0000-0000-0000D0780000}"/>
    <cellStyle name="Normal 409 3 4 3" xfId="30929" xr:uid="{00000000-0005-0000-0000-0000D1780000}"/>
    <cellStyle name="Normal 409 3 5" xfId="30930" xr:uid="{00000000-0005-0000-0000-0000D2780000}"/>
    <cellStyle name="Normal 409 3 5 2" xfId="30931" xr:uid="{00000000-0005-0000-0000-0000D3780000}"/>
    <cellStyle name="Normal 409 3 5 2 2" xfId="30932" xr:uid="{00000000-0005-0000-0000-0000D4780000}"/>
    <cellStyle name="Normal 409 3 5 3" xfId="30933" xr:uid="{00000000-0005-0000-0000-0000D5780000}"/>
    <cellStyle name="Normal 409 3 6" xfId="30934" xr:uid="{00000000-0005-0000-0000-0000D6780000}"/>
    <cellStyle name="Normal 409 4" xfId="30935" xr:uid="{00000000-0005-0000-0000-0000D7780000}"/>
    <cellStyle name="Normal 409 4 2" xfId="30936" xr:uid="{00000000-0005-0000-0000-0000D8780000}"/>
    <cellStyle name="Normal 409 4 2 2" xfId="30937" xr:uid="{00000000-0005-0000-0000-0000D9780000}"/>
    <cellStyle name="Normal 409 4 3" xfId="30938" xr:uid="{00000000-0005-0000-0000-0000DA780000}"/>
    <cellStyle name="Normal 409 5" xfId="30939" xr:uid="{00000000-0005-0000-0000-0000DB780000}"/>
    <cellStyle name="Normal 409 5 2" xfId="30940" xr:uid="{00000000-0005-0000-0000-0000DC780000}"/>
    <cellStyle name="Normal 409 5 2 2" xfId="30941" xr:uid="{00000000-0005-0000-0000-0000DD780000}"/>
    <cellStyle name="Normal 409 5 3" xfId="30942" xr:uid="{00000000-0005-0000-0000-0000DE780000}"/>
    <cellStyle name="Normal 409 6" xfId="30943" xr:uid="{00000000-0005-0000-0000-0000DF780000}"/>
    <cellStyle name="Normal 409 6 2" xfId="30944" xr:uid="{00000000-0005-0000-0000-0000E0780000}"/>
    <cellStyle name="Normal 409 6 2 2" xfId="30945" xr:uid="{00000000-0005-0000-0000-0000E1780000}"/>
    <cellStyle name="Normal 409 6 3" xfId="30946" xr:uid="{00000000-0005-0000-0000-0000E2780000}"/>
    <cellStyle name="Normal 409 7" xfId="30947" xr:uid="{00000000-0005-0000-0000-0000E3780000}"/>
    <cellStyle name="Normal 41" xfId="30948" xr:uid="{00000000-0005-0000-0000-0000E4780000}"/>
    <cellStyle name="Normal 41 2" xfId="30949" xr:uid="{00000000-0005-0000-0000-0000E5780000}"/>
    <cellStyle name="Normal 41 2 2" xfId="30950" xr:uid="{00000000-0005-0000-0000-0000E6780000}"/>
    <cellStyle name="Normal 41 2 2 2" xfId="30951" xr:uid="{00000000-0005-0000-0000-0000E7780000}"/>
    <cellStyle name="Normal 41 2 2 2 2" xfId="30952" xr:uid="{00000000-0005-0000-0000-0000E8780000}"/>
    <cellStyle name="Normal 41 2 2 3" xfId="30953" xr:uid="{00000000-0005-0000-0000-0000E9780000}"/>
    <cellStyle name="Normal 41 2 2 3 2" xfId="30954" xr:uid="{00000000-0005-0000-0000-0000EA780000}"/>
    <cellStyle name="Normal 41 2 2 3 2 2" xfId="30955" xr:uid="{00000000-0005-0000-0000-0000EB780000}"/>
    <cellStyle name="Normal 41 2 2 3 3" xfId="30956" xr:uid="{00000000-0005-0000-0000-0000EC780000}"/>
    <cellStyle name="Normal 41 2 2 4" xfId="30957" xr:uid="{00000000-0005-0000-0000-0000ED780000}"/>
    <cellStyle name="Normal 41 2 2 4 2" xfId="30958" xr:uid="{00000000-0005-0000-0000-0000EE780000}"/>
    <cellStyle name="Normal 41 2 2 4 2 2" xfId="30959" xr:uid="{00000000-0005-0000-0000-0000EF780000}"/>
    <cellStyle name="Normal 41 2 2 4 3" xfId="30960" xr:uid="{00000000-0005-0000-0000-0000F0780000}"/>
    <cellStyle name="Normal 41 2 2 5" xfId="30961" xr:uid="{00000000-0005-0000-0000-0000F1780000}"/>
    <cellStyle name="Normal 41 2 3" xfId="30962" xr:uid="{00000000-0005-0000-0000-0000F2780000}"/>
    <cellStyle name="Normal 41 2 3 2" xfId="30963" xr:uid="{00000000-0005-0000-0000-0000F3780000}"/>
    <cellStyle name="Normal 41 2 3 2 2" xfId="30964" xr:uid="{00000000-0005-0000-0000-0000F4780000}"/>
    <cellStyle name="Normal 41 2 3 3" xfId="30965" xr:uid="{00000000-0005-0000-0000-0000F5780000}"/>
    <cellStyle name="Normal 41 2 4" xfId="30966" xr:uid="{00000000-0005-0000-0000-0000F6780000}"/>
    <cellStyle name="Normal 41 2 4 2" xfId="30967" xr:uid="{00000000-0005-0000-0000-0000F7780000}"/>
    <cellStyle name="Normal 41 2 4 2 2" xfId="30968" xr:uid="{00000000-0005-0000-0000-0000F8780000}"/>
    <cellStyle name="Normal 41 2 4 3" xfId="30969" xr:uid="{00000000-0005-0000-0000-0000F9780000}"/>
    <cellStyle name="Normal 41 2 5" xfId="30970" xr:uid="{00000000-0005-0000-0000-0000FA780000}"/>
    <cellStyle name="Normal 41 2 5 2" xfId="30971" xr:uid="{00000000-0005-0000-0000-0000FB780000}"/>
    <cellStyle name="Normal 41 2 5 2 2" xfId="30972" xr:uid="{00000000-0005-0000-0000-0000FC780000}"/>
    <cellStyle name="Normal 41 2 5 3" xfId="30973" xr:uid="{00000000-0005-0000-0000-0000FD780000}"/>
    <cellStyle name="Normal 41 2 6" xfId="30974" xr:uid="{00000000-0005-0000-0000-0000FE780000}"/>
    <cellStyle name="Normal 41 3" xfId="30975" xr:uid="{00000000-0005-0000-0000-0000FF780000}"/>
    <cellStyle name="Normal 41 3 2" xfId="30976" xr:uid="{00000000-0005-0000-0000-000000790000}"/>
    <cellStyle name="Normal 41 3 2 2" xfId="30977" xr:uid="{00000000-0005-0000-0000-000001790000}"/>
    <cellStyle name="Normal 41 3 3" xfId="30978" xr:uid="{00000000-0005-0000-0000-000002790000}"/>
    <cellStyle name="Normal 41 3 3 2" xfId="30979" xr:uid="{00000000-0005-0000-0000-000003790000}"/>
    <cellStyle name="Normal 41 3 3 2 2" xfId="30980" xr:uid="{00000000-0005-0000-0000-000004790000}"/>
    <cellStyle name="Normal 41 3 3 3" xfId="30981" xr:uid="{00000000-0005-0000-0000-000005790000}"/>
    <cellStyle name="Normal 41 3 4" xfId="30982" xr:uid="{00000000-0005-0000-0000-000006790000}"/>
    <cellStyle name="Normal 41 3 4 2" xfId="30983" xr:uid="{00000000-0005-0000-0000-000007790000}"/>
    <cellStyle name="Normal 41 3 4 2 2" xfId="30984" xr:uid="{00000000-0005-0000-0000-000008790000}"/>
    <cellStyle name="Normal 41 3 4 3" xfId="30985" xr:uid="{00000000-0005-0000-0000-000009790000}"/>
    <cellStyle name="Normal 41 3 5" xfId="30986" xr:uid="{00000000-0005-0000-0000-00000A790000}"/>
    <cellStyle name="Normal 41 4" xfId="30987" xr:uid="{00000000-0005-0000-0000-00000B790000}"/>
    <cellStyle name="Normal 41 4 2" xfId="30988" xr:uid="{00000000-0005-0000-0000-00000C790000}"/>
    <cellStyle name="Normal 41 4 2 2" xfId="30989" xr:uid="{00000000-0005-0000-0000-00000D790000}"/>
    <cellStyle name="Normal 41 4 3" xfId="30990" xr:uid="{00000000-0005-0000-0000-00000E790000}"/>
    <cellStyle name="Normal 41 5" xfId="30991" xr:uid="{00000000-0005-0000-0000-00000F790000}"/>
    <cellStyle name="Normal 41 5 2" xfId="30992" xr:uid="{00000000-0005-0000-0000-000010790000}"/>
    <cellStyle name="Normal 41 5 2 2" xfId="30993" xr:uid="{00000000-0005-0000-0000-000011790000}"/>
    <cellStyle name="Normal 41 5 3" xfId="30994" xr:uid="{00000000-0005-0000-0000-000012790000}"/>
    <cellStyle name="Normal 41 6" xfId="30995" xr:uid="{00000000-0005-0000-0000-000013790000}"/>
    <cellStyle name="Normal 41 6 2" xfId="30996" xr:uid="{00000000-0005-0000-0000-000014790000}"/>
    <cellStyle name="Normal 41 6 2 2" xfId="30997" xr:uid="{00000000-0005-0000-0000-000015790000}"/>
    <cellStyle name="Normal 41 6 3" xfId="30998" xr:uid="{00000000-0005-0000-0000-000016790000}"/>
    <cellStyle name="Normal 41 7" xfId="30999" xr:uid="{00000000-0005-0000-0000-000017790000}"/>
    <cellStyle name="Normal 410" xfId="31000" xr:uid="{00000000-0005-0000-0000-000018790000}"/>
    <cellStyle name="Normal 410 2" xfId="31001" xr:uid="{00000000-0005-0000-0000-000019790000}"/>
    <cellStyle name="Normal 410 2 2" xfId="31002" xr:uid="{00000000-0005-0000-0000-00001A790000}"/>
    <cellStyle name="Normal 410 2 2 2" xfId="31003" xr:uid="{00000000-0005-0000-0000-00001B790000}"/>
    <cellStyle name="Normal 410 2 3" xfId="31004" xr:uid="{00000000-0005-0000-0000-00001C790000}"/>
    <cellStyle name="Normal 410 2 3 2" xfId="31005" xr:uid="{00000000-0005-0000-0000-00001D790000}"/>
    <cellStyle name="Normal 410 2 3 2 2" xfId="31006" xr:uid="{00000000-0005-0000-0000-00001E790000}"/>
    <cellStyle name="Normal 410 2 3 3" xfId="31007" xr:uid="{00000000-0005-0000-0000-00001F790000}"/>
    <cellStyle name="Normal 410 2 4" xfId="31008" xr:uid="{00000000-0005-0000-0000-000020790000}"/>
    <cellStyle name="Normal 410 2 4 2" xfId="31009" xr:uid="{00000000-0005-0000-0000-000021790000}"/>
    <cellStyle name="Normal 410 2 4 2 2" xfId="31010" xr:uid="{00000000-0005-0000-0000-000022790000}"/>
    <cellStyle name="Normal 410 2 4 3" xfId="31011" xr:uid="{00000000-0005-0000-0000-000023790000}"/>
    <cellStyle name="Normal 410 2 5" xfId="31012" xr:uid="{00000000-0005-0000-0000-000024790000}"/>
    <cellStyle name="Normal 410 3" xfId="31013" xr:uid="{00000000-0005-0000-0000-000025790000}"/>
    <cellStyle name="Normal 410 3 2" xfId="31014" xr:uid="{00000000-0005-0000-0000-000026790000}"/>
    <cellStyle name="Normal 410 3 2 2" xfId="31015" xr:uid="{00000000-0005-0000-0000-000027790000}"/>
    <cellStyle name="Normal 410 3 2 2 2" xfId="31016" xr:uid="{00000000-0005-0000-0000-000028790000}"/>
    <cellStyle name="Normal 410 3 2 3" xfId="31017" xr:uid="{00000000-0005-0000-0000-000029790000}"/>
    <cellStyle name="Normal 410 3 2 3 2" xfId="31018" xr:uid="{00000000-0005-0000-0000-00002A790000}"/>
    <cellStyle name="Normal 410 3 2 3 2 2" xfId="31019" xr:uid="{00000000-0005-0000-0000-00002B790000}"/>
    <cellStyle name="Normal 410 3 2 3 3" xfId="31020" xr:uid="{00000000-0005-0000-0000-00002C790000}"/>
    <cellStyle name="Normal 410 3 2 4" xfId="31021" xr:uid="{00000000-0005-0000-0000-00002D790000}"/>
    <cellStyle name="Normal 410 3 3" xfId="31022" xr:uid="{00000000-0005-0000-0000-00002E790000}"/>
    <cellStyle name="Normal 410 3 3 2" xfId="31023" xr:uid="{00000000-0005-0000-0000-00002F790000}"/>
    <cellStyle name="Normal 410 3 3 2 2" xfId="31024" xr:uid="{00000000-0005-0000-0000-000030790000}"/>
    <cellStyle name="Normal 410 3 3 3" xfId="31025" xr:uid="{00000000-0005-0000-0000-000031790000}"/>
    <cellStyle name="Normal 410 3 4" xfId="31026" xr:uid="{00000000-0005-0000-0000-000032790000}"/>
    <cellStyle name="Normal 410 3 4 2" xfId="31027" xr:uid="{00000000-0005-0000-0000-000033790000}"/>
    <cellStyle name="Normal 410 3 4 2 2" xfId="31028" xr:uid="{00000000-0005-0000-0000-000034790000}"/>
    <cellStyle name="Normal 410 3 4 3" xfId="31029" xr:uid="{00000000-0005-0000-0000-000035790000}"/>
    <cellStyle name="Normal 410 3 5" xfId="31030" xr:uid="{00000000-0005-0000-0000-000036790000}"/>
    <cellStyle name="Normal 410 3 5 2" xfId="31031" xr:uid="{00000000-0005-0000-0000-000037790000}"/>
    <cellStyle name="Normal 410 3 5 2 2" xfId="31032" xr:uid="{00000000-0005-0000-0000-000038790000}"/>
    <cellStyle name="Normal 410 3 5 3" xfId="31033" xr:uid="{00000000-0005-0000-0000-000039790000}"/>
    <cellStyle name="Normal 410 3 6" xfId="31034" xr:uid="{00000000-0005-0000-0000-00003A790000}"/>
    <cellStyle name="Normal 410 4" xfId="31035" xr:uid="{00000000-0005-0000-0000-00003B790000}"/>
    <cellStyle name="Normal 410 4 2" xfId="31036" xr:uid="{00000000-0005-0000-0000-00003C790000}"/>
    <cellStyle name="Normal 410 4 2 2" xfId="31037" xr:uid="{00000000-0005-0000-0000-00003D790000}"/>
    <cellStyle name="Normal 410 4 3" xfId="31038" xr:uid="{00000000-0005-0000-0000-00003E790000}"/>
    <cellStyle name="Normal 410 5" xfId="31039" xr:uid="{00000000-0005-0000-0000-00003F790000}"/>
    <cellStyle name="Normal 410 5 2" xfId="31040" xr:uid="{00000000-0005-0000-0000-000040790000}"/>
    <cellStyle name="Normal 410 5 2 2" xfId="31041" xr:uid="{00000000-0005-0000-0000-000041790000}"/>
    <cellStyle name="Normal 410 5 3" xfId="31042" xr:uid="{00000000-0005-0000-0000-000042790000}"/>
    <cellStyle name="Normal 410 6" xfId="31043" xr:uid="{00000000-0005-0000-0000-000043790000}"/>
    <cellStyle name="Normal 410 6 2" xfId="31044" xr:uid="{00000000-0005-0000-0000-000044790000}"/>
    <cellStyle name="Normal 410 6 2 2" xfId="31045" xr:uid="{00000000-0005-0000-0000-000045790000}"/>
    <cellStyle name="Normal 410 6 3" xfId="31046" xr:uid="{00000000-0005-0000-0000-000046790000}"/>
    <cellStyle name="Normal 410 7" xfId="31047" xr:uid="{00000000-0005-0000-0000-000047790000}"/>
    <cellStyle name="Normal 411" xfId="31048" xr:uid="{00000000-0005-0000-0000-000048790000}"/>
    <cellStyle name="Normal 411 2" xfId="31049" xr:uid="{00000000-0005-0000-0000-000049790000}"/>
    <cellStyle name="Normal 411 2 2" xfId="31050" xr:uid="{00000000-0005-0000-0000-00004A790000}"/>
    <cellStyle name="Normal 411 2 2 2" xfId="31051" xr:uid="{00000000-0005-0000-0000-00004B790000}"/>
    <cellStyle name="Normal 411 2 3" xfId="31052" xr:uid="{00000000-0005-0000-0000-00004C790000}"/>
    <cellStyle name="Normal 411 2 3 2" xfId="31053" xr:uid="{00000000-0005-0000-0000-00004D790000}"/>
    <cellStyle name="Normal 411 2 3 2 2" xfId="31054" xr:uid="{00000000-0005-0000-0000-00004E790000}"/>
    <cellStyle name="Normal 411 2 3 3" xfId="31055" xr:uid="{00000000-0005-0000-0000-00004F790000}"/>
    <cellStyle name="Normal 411 2 4" xfId="31056" xr:uid="{00000000-0005-0000-0000-000050790000}"/>
    <cellStyle name="Normal 411 2 4 2" xfId="31057" xr:uid="{00000000-0005-0000-0000-000051790000}"/>
    <cellStyle name="Normal 411 2 4 2 2" xfId="31058" xr:uid="{00000000-0005-0000-0000-000052790000}"/>
    <cellStyle name="Normal 411 2 4 3" xfId="31059" xr:uid="{00000000-0005-0000-0000-000053790000}"/>
    <cellStyle name="Normal 411 2 5" xfId="31060" xr:uid="{00000000-0005-0000-0000-000054790000}"/>
    <cellStyle name="Normal 411 3" xfId="31061" xr:uid="{00000000-0005-0000-0000-000055790000}"/>
    <cellStyle name="Normal 411 3 2" xfId="31062" xr:uid="{00000000-0005-0000-0000-000056790000}"/>
    <cellStyle name="Normal 411 3 2 2" xfId="31063" xr:uid="{00000000-0005-0000-0000-000057790000}"/>
    <cellStyle name="Normal 411 3 2 2 2" xfId="31064" xr:uid="{00000000-0005-0000-0000-000058790000}"/>
    <cellStyle name="Normal 411 3 2 3" xfId="31065" xr:uid="{00000000-0005-0000-0000-000059790000}"/>
    <cellStyle name="Normal 411 3 2 3 2" xfId="31066" xr:uid="{00000000-0005-0000-0000-00005A790000}"/>
    <cellStyle name="Normal 411 3 2 3 2 2" xfId="31067" xr:uid="{00000000-0005-0000-0000-00005B790000}"/>
    <cellStyle name="Normal 411 3 2 3 3" xfId="31068" xr:uid="{00000000-0005-0000-0000-00005C790000}"/>
    <cellStyle name="Normal 411 3 2 4" xfId="31069" xr:uid="{00000000-0005-0000-0000-00005D790000}"/>
    <cellStyle name="Normal 411 3 3" xfId="31070" xr:uid="{00000000-0005-0000-0000-00005E790000}"/>
    <cellStyle name="Normal 411 3 3 2" xfId="31071" xr:uid="{00000000-0005-0000-0000-00005F790000}"/>
    <cellStyle name="Normal 411 3 3 2 2" xfId="31072" xr:uid="{00000000-0005-0000-0000-000060790000}"/>
    <cellStyle name="Normal 411 3 3 3" xfId="31073" xr:uid="{00000000-0005-0000-0000-000061790000}"/>
    <cellStyle name="Normal 411 3 4" xfId="31074" xr:uid="{00000000-0005-0000-0000-000062790000}"/>
    <cellStyle name="Normal 411 3 4 2" xfId="31075" xr:uid="{00000000-0005-0000-0000-000063790000}"/>
    <cellStyle name="Normal 411 3 4 2 2" xfId="31076" xr:uid="{00000000-0005-0000-0000-000064790000}"/>
    <cellStyle name="Normal 411 3 4 3" xfId="31077" xr:uid="{00000000-0005-0000-0000-000065790000}"/>
    <cellStyle name="Normal 411 3 5" xfId="31078" xr:uid="{00000000-0005-0000-0000-000066790000}"/>
    <cellStyle name="Normal 411 3 5 2" xfId="31079" xr:uid="{00000000-0005-0000-0000-000067790000}"/>
    <cellStyle name="Normal 411 3 5 2 2" xfId="31080" xr:uid="{00000000-0005-0000-0000-000068790000}"/>
    <cellStyle name="Normal 411 3 5 3" xfId="31081" xr:uid="{00000000-0005-0000-0000-000069790000}"/>
    <cellStyle name="Normal 411 3 6" xfId="31082" xr:uid="{00000000-0005-0000-0000-00006A790000}"/>
    <cellStyle name="Normal 411 4" xfId="31083" xr:uid="{00000000-0005-0000-0000-00006B790000}"/>
    <cellStyle name="Normal 411 4 2" xfId="31084" xr:uid="{00000000-0005-0000-0000-00006C790000}"/>
    <cellStyle name="Normal 411 4 2 2" xfId="31085" xr:uid="{00000000-0005-0000-0000-00006D790000}"/>
    <cellStyle name="Normal 411 4 3" xfId="31086" xr:uid="{00000000-0005-0000-0000-00006E790000}"/>
    <cellStyle name="Normal 411 5" xfId="31087" xr:uid="{00000000-0005-0000-0000-00006F790000}"/>
    <cellStyle name="Normal 411 5 2" xfId="31088" xr:uid="{00000000-0005-0000-0000-000070790000}"/>
    <cellStyle name="Normal 411 5 2 2" xfId="31089" xr:uid="{00000000-0005-0000-0000-000071790000}"/>
    <cellStyle name="Normal 411 5 3" xfId="31090" xr:uid="{00000000-0005-0000-0000-000072790000}"/>
    <cellStyle name="Normal 411 6" xfId="31091" xr:uid="{00000000-0005-0000-0000-000073790000}"/>
    <cellStyle name="Normal 411 6 2" xfId="31092" xr:uid="{00000000-0005-0000-0000-000074790000}"/>
    <cellStyle name="Normal 411 6 2 2" xfId="31093" xr:uid="{00000000-0005-0000-0000-000075790000}"/>
    <cellStyle name="Normal 411 6 3" xfId="31094" xr:uid="{00000000-0005-0000-0000-000076790000}"/>
    <cellStyle name="Normal 411 7" xfId="31095" xr:uid="{00000000-0005-0000-0000-000077790000}"/>
    <cellStyle name="Normal 412" xfId="31096" xr:uid="{00000000-0005-0000-0000-000078790000}"/>
    <cellStyle name="Normal 412 2" xfId="31097" xr:uid="{00000000-0005-0000-0000-000079790000}"/>
    <cellStyle name="Normal 412 2 2" xfId="31098" xr:uid="{00000000-0005-0000-0000-00007A790000}"/>
    <cellStyle name="Normal 412 2 2 2" xfId="31099" xr:uid="{00000000-0005-0000-0000-00007B790000}"/>
    <cellStyle name="Normal 412 2 3" xfId="31100" xr:uid="{00000000-0005-0000-0000-00007C790000}"/>
    <cellStyle name="Normal 412 2 3 2" xfId="31101" xr:uid="{00000000-0005-0000-0000-00007D790000}"/>
    <cellStyle name="Normal 412 2 3 2 2" xfId="31102" xr:uid="{00000000-0005-0000-0000-00007E790000}"/>
    <cellStyle name="Normal 412 2 3 3" xfId="31103" xr:uid="{00000000-0005-0000-0000-00007F790000}"/>
    <cellStyle name="Normal 412 2 4" xfId="31104" xr:uid="{00000000-0005-0000-0000-000080790000}"/>
    <cellStyle name="Normal 412 2 4 2" xfId="31105" xr:uid="{00000000-0005-0000-0000-000081790000}"/>
    <cellStyle name="Normal 412 2 4 2 2" xfId="31106" xr:uid="{00000000-0005-0000-0000-000082790000}"/>
    <cellStyle name="Normal 412 2 4 3" xfId="31107" xr:uid="{00000000-0005-0000-0000-000083790000}"/>
    <cellStyle name="Normal 412 2 5" xfId="31108" xr:uid="{00000000-0005-0000-0000-000084790000}"/>
    <cellStyle name="Normal 412 3" xfId="31109" xr:uid="{00000000-0005-0000-0000-000085790000}"/>
    <cellStyle name="Normal 412 3 2" xfId="31110" xr:uid="{00000000-0005-0000-0000-000086790000}"/>
    <cellStyle name="Normal 412 3 2 2" xfId="31111" xr:uid="{00000000-0005-0000-0000-000087790000}"/>
    <cellStyle name="Normal 412 3 2 2 2" xfId="31112" xr:uid="{00000000-0005-0000-0000-000088790000}"/>
    <cellStyle name="Normal 412 3 2 3" xfId="31113" xr:uid="{00000000-0005-0000-0000-000089790000}"/>
    <cellStyle name="Normal 412 3 2 3 2" xfId="31114" xr:uid="{00000000-0005-0000-0000-00008A790000}"/>
    <cellStyle name="Normal 412 3 2 3 2 2" xfId="31115" xr:uid="{00000000-0005-0000-0000-00008B790000}"/>
    <cellStyle name="Normal 412 3 2 3 3" xfId="31116" xr:uid="{00000000-0005-0000-0000-00008C790000}"/>
    <cellStyle name="Normal 412 3 2 4" xfId="31117" xr:uid="{00000000-0005-0000-0000-00008D790000}"/>
    <cellStyle name="Normal 412 3 3" xfId="31118" xr:uid="{00000000-0005-0000-0000-00008E790000}"/>
    <cellStyle name="Normal 412 3 3 2" xfId="31119" xr:uid="{00000000-0005-0000-0000-00008F790000}"/>
    <cellStyle name="Normal 412 3 3 2 2" xfId="31120" xr:uid="{00000000-0005-0000-0000-000090790000}"/>
    <cellStyle name="Normal 412 3 3 3" xfId="31121" xr:uid="{00000000-0005-0000-0000-000091790000}"/>
    <cellStyle name="Normal 412 3 4" xfId="31122" xr:uid="{00000000-0005-0000-0000-000092790000}"/>
    <cellStyle name="Normal 412 3 4 2" xfId="31123" xr:uid="{00000000-0005-0000-0000-000093790000}"/>
    <cellStyle name="Normal 412 3 4 2 2" xfId="31124" xr:uid="{00000000-0005-0000-0000-000094790000}"/>
    <cellStyle name="Normal 412 3 4 3" xfId="31125" xr:uid="{00000000-0005-0000-0000-000095790000}"/>
    <cellStyle name="Normal 412 3 5" xfId="31126" xr:uid="{00000000-0005-0000-0000-000096790000}"/>
    <cellStyle name="Normal 412 3 5 2" xfId="31127" xr:uid="{00000000-0005-0000-0000-000097790000}"/>
    <cellStyle name="Normal 412 3 5 2 2" xfId="31128" xr:uid="{00000000-0005-0000-0000-000098790000}"/>
    <cellStyle name="Normal 412 3 5 3" xfId="31129" xr:uid="{00000000-0005-0000-0000-000099790000}"/>
    <cellStyle name="Normal 412 3 6" xfId="31130" xr:uid="{00000000-0005-0000-0000-00009A790000}"/>
    <cellStyle name="Normal 412 4" xfId="31131" xr:uid="{00000000-0005-0000-0000-00009B790000}"/>
    <cellStyle name="Normal 412 4 2" xfId="31132" xr:uid="{00000000-0005-0000-0000-00009C790000}"/>
    <cellStyle name="Normal 412 4 2 2" xfId="31133" xr:uid="{00000000-0005-0000-0000-00009D790000}"/>
    <cellStyle name="Normal 412 4 3" xfId="31134" xr:uid="{00000000-0005-0000-0000-00009E790000}"/>
    <cellStyle name="Normal 412 5" xfId="31135" xr:uid="{00000000-0005-0000-0000-00009F790000}"/>
    <cellStyle name="Normal 412 5 2" xfId="31136" xr:uid="{00000000-0005-0000-0000-0000A0790000}"/>
    <cellStyle name="Normal 412 5 2 2" xfId="31137" xr:uid="{00000000-0005-0000-0000-0000A1790000}"/>
    <cellStyle name="Normal 412 5 3" xfId="31138" xr:uid="{00000000-0005-0000-0000-0000A2790000}"/>
    <cellStyle name="Normal 412 6" xfId="31139" xr:uid="{00000000-0005-0000-0000-0000A3790000}"/>
    <cellStyle name="Normal 412 6 2" xfId="31140" xr:uid="{00000000-0005-0000-0000-0000A4790000}"/>
    <cellStyle name="Normal 412 6 2 2" xfId="31141" xr:uid="{00000000-0005-0000-0000-0000A5790000}"/>
    <cellStyle name="Normal 412 6 3" xfId="31142" xr:uid="{00000000-0005-0000-0000-0000A6790000}"/>
    <cellStyle name="Normal 412 7" xfId="31143" xr:uid="{00000000-0005-0000-0000-0000A7790000}"/>
    <cellStyle name="Normal 413" xfId="31144" xr:uid="{00000000-0005-0000-0000-0000A8790000}"/>
    <cellStyle name="Normal 413 2" xfId="31145" xr:uid="{00000000-0005-0000-0000-0000A9790000}"/>
    <cellStyle name="Normal 413 2 2" xfId="31146" xr:uid="{00000000-0005-0000-0000-0000AA790000}"/>
    <cellStyle name="Normal 413 2 2 2" xfId="31147" xr:uid="{00000000-0005-0000-0000-0000AB790000}"/>
    <cellStyle name="Normal 413 2 3" xfId="31148" xr:uid="{00000000-0005-0000-0000-0000AC790000}"/>
    <cellStyle name="Normal 413 2 3 2" xfId="31149" xr:uid="{00000000-0005-0000-0000-0000AD790000}"/>
    <cellStyle name="Normal 413 2 3 2 2" xfId="31150" xr:uid="{00000000-0005-0000-0000-0000AE790000}"/>
    <cellStyle name="Normal 413 2 3 3" xfId="31151" xr:uid="{00000000-0005-0000-0000-0000AF790000}"/>
    <cellStyle name="Normal 413 2 4" xfId="31152" xr:uid="{00000000-0005-0000-0000-0000B0790000}"/>
    <cellStyle name="Normal 413 2 4 2" xfId="31153" xr:uid="{00000000-0005-0000-0000-0000B1790000}"/>
    <cellStyle name="Normal 413 2 4 2 2" xfId="31154" xr:uid="{00000000-0005-0000-0000-0000B2790000}"/>
    <cellStyle name="Normal 413 2 4 3" xfId="31155" xr:uid="{00000000-0005-0000-0000-0000B3790000}"/>
    <cellStyle name="Normal 413 2 5" xfId="31156" xr:uid="{00000000-0005-0000-0000-0000B4790000}"/>
    <cellStyle name="Normal 413 3" xfId="31157" xr:uid="{00000000-0005-0000-0000-0000B5790000}"/>
    <cellStyle name="Normal 413 3 2" xfId="31158" xr:uid="{00000000-0005-0000-0000-0000B6790000}"/>
    <cellStyle name="Normal 413 3 2 2" xfId="31159" xr:uid="{00000000-0005-0000-0000-0000B7790000}"/>
    <cellStyle name="Normal 413 3 2 2 2" xfId="31160" xr:uid="{00000000-0005-0000-0000-0000B8790000}"/>
    <cellStyle name="Normal 413 3 2 3" xfId="31161" xr:uid="{00000000-0005-0000-0000-0000B9790000}"/>
    <cellStyle name="Normal 413 3 2 3 2" xfId="31162" xr:uid="{00000000-0005-0000-0000-0000BA790000}"/>
    <cellStyle name="Normal 413 3 2 3 2 2" xfId="31163" xr:uid="{00000000-0005-0000-0000-0000BB790000}"/>
    <cellStyle name="Normal 413 3 2 3 3" xfId="31164" xr:uid="{00000000-0005-0000-0000-0000BC790000}"/>
    <cellStyle name="Normal 413 3 2 4" xfId="31165" xr:uid="{00000000-0005-0000-0000-0000BD790000}"/>
    <cellStyle name="Normal 413 3 3" xfId="31166" xr:uid="{00000000-0005-0000-0000-0000BE790000}"/>
    <cellStyle name="Normal 413 3 3 2" xfId="31167" xr:uid="{00000000-0005-0000-0000-0000BF790000}"/>
    <cellStyle name="Normal 413 3 3 2 2" xfId="31168" xr:uid="{00000000-0005-0000-0000-0000C0790000}"/>
    <cellStyle name="Normal 413 3 3 3" xfId="31169" xr:uid="{00000000-0005-0000-0000-0000C1790000}"/>
    <cellStyle name="Normal 413 3 4" xfId="31170" xr:uid="{00000000-0005-0000-0000-0000C2790000}"/>
    <cellStyle name="Normal 413 3 4 2" xfId="31171" xr:uid="{00000000-0005-0000-0000-0000C3790000}"/>
    <cellStyle name="Normal 413 3 4 2 2" xfId="31172" xr:uid="{00000000-0005-0000-0000-0000C4790000}"/>
    <cellStyle name="Normal 413 3 4 3" xfId="31173" xr:uid="{00000000-0005-0000-0000-0000C5790000}"/>
    <cellStyle name="Normal 413 3 5" xfId="31174" xr:uid="{00000000-0005-0000-0000-0000C6790000}"/>
    <cellStyle name="Normal 413 3 5 2" xfId="31175" xr:uid="{00000000-0005-0000-0000-0000C7790000}"/>
    <cellStyle name="Normal 413 3 5 2 2" xfId="31176" xr:uid="{00000000-0005-0000-0000-0000C8790000}"/>
    <cellStyle name="Normal 413 3 5 3" xfId="31177" xr:uid="{00000000-0005-0000-0000-0000C9790000}"/>
    <cellStyle name="Normal 413 3 6" xfId="31178" xr:uid="{00000000-0005-0000-0000-0000CA790000}"/>
    <cellStyle name="Normal 413 4" xfId="31179" xr:uid="{00000000-0005-0000-0000-0000CB790000}"/>
    <cellStyle name="Normal 413 4 2" xfId="31180" xr:uid="{00000000-0005-0000-0000-0000CC790000}"/>
    <cellStyle name="Normal 413 4 2 2" xfId="31181" xr:uid="{00000000-0005-0000-0000-0000CD790000}"/>
    <cellStyle name="Normal 413 4 3" xfId="31182" xr:uid="{00000000-0005-0000-0000-0000CE790000}"/>
    <cellStyle name="Normal 413 5" xfId="31183" xr:uid="{00000000-0005-0000-0000-0000CF790000}"/>
    <cellStyle name="Normal 413 5 2" xfId="31184" xr:uid="{00000000-0005-0000-0000-0000D0790000}"/>
    <cellStyle name="Normal 413 5 2 2" xfId="31185" xr:uid="{00000000-0005-0000-0000-0000D1790000}"/>
    <cellStyle name="Normal 413 5 3" xfId="31186" xr:uid="{00000000-0005-0000-0000-0000D2790000}"/>
    <cellStyle name="Normal 413 6" xfId="31187" xr:uid="{00000000-0005-0000-0000-0000D3790000}"/>
    <cellStyle name="Normal 413 6 2" xfId="31188" xr:uid="{00000000-0005-0000-0000-0000D4790000}"/>
    <cellStyle name="Normal 413 6 2 2" xfId="31189" xr:uid="{00000000-0005-0000-0000-0000D5790000}"/>
    <cellStyle name="Normal 413 6 3" xfId="31190" xr:uid="{00000000-0005-0000-0000-0000D6790000}"/>
    <cellStyle name="Normal 413 7" xfId="31191" xr:uid="{00000000-0005-0000-0000-0000D7790000}"/>
    <cellStyle name="Normal 414" xfId="31192" xr:uid="{00000000-0005-0000-0000-0000D8790000}"/>
    <cellStyle name="Normal 414 2" xfId="31193" xr:uid="{00000000-0005-0000-0000-0000D9790000}"/>
    <cellStyle name="Normal 414 2 2" xfId="31194" xr:uid="{00000000-0005-0000-0000-0000DA790000}"/>
    <cellStyle name="Normal 414 2 2 2" xfId="31195" xr:uid="{00000000-0005-0000-0000-0000DB790000}"/>
    <cellStyle name="Normal 414 2 3" xfId="31196" xr:uid="{00000000-0005-0000-0000-0000DC790000}"/>
    <cellStyle name="Normal 414 2 3 2" xfId="31197" xr:uid="{00000000-0005-0000-0000-0000DD790000}"/>
    <cellStyle name="Normal 414 2 3 2 2" xfId="31198" xr:uid="{00000000-0005-0000-0000-0000DE790000}"/>
    <cellStyle name="Normal 414 2 3 3" xfId="31199" xr:uid="{00000000-0005-0000-0000-0000DF790000}"/>
    <cellStyle name="Normal 414 2 4" xfId="31200" xr:uid="{00000000-0005-0000-0000-0000E0790000}"/>
    <cellStyle name="Normal 414 2 4 2" xfId="31201" xr:uid="{00000000-0005-0000-0000-0000E1790000}"/>
    <cellStyle name="Normal 414 2 4 2 2" xfId="31202" xr:uid="{00000000-0005-0000-0000-0000E2790000}"/>
    <cellStyle name="Normal 414 2 4 3" xfId="31203" xr:uid="{00000000-0005-0000-0000-0000E3790000}"/>
    <cellStyle name="Normal 414 2 5" xfId="31204" xr:uid="{00000000-0005-0000-0000-0000E4790000}"/>
    <cellStyle name="Normal 414 3" xfId="31205" xr:uid="{00000000-0005-0000-0000-0000E5790000}"/>
    <cellStyle name="Normal 414 3 2" xfId="31206" xr:uid="{00000000-0005-0000-0000-0000E6790000}"/>
    <cellStyle name="Normal 414 3 2 2" xfId="31207" xr:uid="{00000000-0005-0000-0000-0000E7790000}"/>
    <cellStyle name="Normal 414 3 2 2 2" xfId="31208" xr:uid="{00000000-0005-0000-0000-0000E8790000}"/>
    <cellStyle name="Normal 414 3 2 3" xfId="31209" xr:uid="{00000000-0005-0000-0000-0000E9790000}"/>
    <cellStyle name="Normal 414 3 2 3 2" xfId="31210" xr:uid="{00000000-0005-0000-0000-0000EA790000}"/>
    <cellStyle name="Normal 414 3 2 3 2 2" xfId="31211" xr:uid="{00000000-0005-0000-0000-0000EB790000}"/>
    <cellStyle name="Normal 414 3 2 3 3" xfId="31212" xr:uid="{00000000-0005-0000-0000-0000EC790000}"/>
    <cellStyle name="Normal 414 3 2 4" xfId="31213" xr:uid="{00000000-0005-0000-0000-0000ED790000}"/>
    <cellStyle name="Normal 414 3 3" xfId="31214" xr:uid="{00000000-0005-0000-0000-0000EE790000}"/>
    <cellStyle name="Normal 414 3 3 2" xfId="31215" xr:uid="{00000000-0005-0000-0000-0000EF790000}"/>
    <cellStyle name="Normal 414 3 3 2 2" xfId="31216" xr:uid="{00000000-0005-0000-0000-0000F0790000}"/>
    <cellStyle name="Normal 414 3 3 3" xfId="31217" xr:uid="{00000000-0005-0000-0000-0000F1790000}"/>
    <cellStyle name="Normal 414 3 4" xfId="31218" xr:uid="{00000000-0005-0000-0000-0000F2790000}"/>
    <cellStyle name="Normal 414 3 4 2" xfId="31219" xr:uid="{00000000-0005-0000-0000-0000F3790000}"/>
    <cellStyle name="Normal 414 3 4 2 2" xfId="31220" xr:uid="{00000000-0005-0000-0000-0000F4790000}"/>
    <cellStyle name="Normal 414 3 4 3" xfId="31221" xr:uid="{00000000-0005-0000-0000-0000F5790000}"/>
    <cellStyle name="Normal 414 3 5" xfId="31222" xr:uid="{00000000-0005-0000-0000-0000F6790000}"/>
    <cellStyle name="Normal 414 3 5 2" xfId="31223" xr:uid="{00000000-0005-0000-0000-0000F7790000}"/>
    <cellStyle name="Normal 414 3 5 2 2" xfId="31224" xr:uid="{00000000-0005-0000-0000-0000F8790000}"/>
    <cellStyle name="Normal 414 3 5 3" xfId="31225" xr:uid="{00000000-0005-0000-0000-0000F9790000}"/>
    <cellStyle name="Normal 414 3 6" xfId="31226" xr:uid="{00000000-0005-0000-0000-0000FA790000}"/>
    <cellStyle name="Normal 414 4" xfId="31227" xr:uid="{00000000-0005-0000-0000-0000FB790000}"/>
    <cellStyle name="Normal 414 4 2" xfId="31228" xr:uid="{00000000-0005-0000-0000-0000FC790000}"/>
    <cellStyle name="Normal 414 4 2 2" xfId="31229" xr:uid="{00000000-0005-0000-0000-0000FD790000}"/>
    <cellStyle name="Normal 414 4 3" xfId="31230" xr:uid="{00000000-0005-0000-0000-0000FE790000}"/>
    <cellStyle name="Normal 414 5" xfId="31231" xr:uid="{00000000-0005-0000-0000-0000FF790000}"/>
    <cellStyle name="Normal 414 5 2" xfId="31232" xr:uid="{00000000-0005-0000-0000-0000007A0000}"/>
    <cellStyle name="Normal 414 5 2 2" xfId="31233" xr:uid="{00000000-0005-0000-0000-0000017A0000}"/>
    <cellStyle name="Normal 414 5 3" xfId="31234" xr:uid="{00000000-0005-0000-0000-0000027A0000}"/>
    <cellStyle name="Normal 414 6" xfId="31235" xr:uid="{00000000-0005-0000-0000-0000037A0000}"/>
    <cellStyle name="Normal 414 6 2" xfId="31236" xr:uid="{00000000-0005-0000-0000-0000047A0000}"/>
    <cellStyle name="Normal 414 6 2 2" xfId="31237" xr:uid="{00000000-0005-0000-0000-0000057A0000}"/>
    <cellStyle name="Normal 414 6 3" xfId="31238" xr:uid="{00000000-0005-0000-0000-0000067A0000}"/>
    <cellStyle name="Normal 414 7" xfId="31239" xr:uid="{00000000-0005-0000-0000-0000077A0000}"/>
    <cellStyle name="Normal 415" xfId="31240" xr:uid="{00000000-0005-0000-0000-0000087A0000}"/>
    <cellStyle name="Normal 415 2" xfId="31241" xr:uid="{00000000-0005-0000-0000-0000097A0000}"/>
    <cellStyle name="Normal 415 2 2" xfId="31242" xr:uid="{00000000-0005-0000-0000-00000A7A0000}"/>
    <cellStyle name="Normal 415 2 2 2" xfId="31243" xr:uid="{00000000-0005-0000-0000-00000B7A0000}"/>
    <cellStyle name="Normal 415 2 3" xfId="31244" xr:uid="{00000000-0005-0000-0000-00000C7A0000}"/>
    <cellStyle name="Normal 415 2 3 2" xfId="31245" xr:uid="{00000000-0005-0000-0000-00000D7A0000}"/>
    <cellStyle name="Normal 415 2 3 2 2" xfId="31246" xr:uid="{00000000-0005-0000-0000-00000E7A0000}"/>
    <cellStyle name="Normal 415 2 3 3" xfId="31247" xr:uid="{00000000-0005-0000-0000-00000F7A0000}"/>
    <cellStyle name="Normal 415 2 4" xfId="31248" xr:uid="{00000000-0005-0000-0000-0000107A0000}"/>
    <cellStyle name="Normal 415 2 4 2" xfId="31249" xr:uid="{00000000-0005-0000-0000-0000117A0000}"/>
    <cellStyle name="Normal 415 2 4 2 2" xfId="31250" xr:uid="{00000000-0005-0000-0000-0000127A0000}"/>
    <cellStyle name="Normal 415 2 4 3" xfId="31251" xr:uid="{00000000-0005-0000-0000-0000137A0000}"/>
    <cellStyle name="Normal 415 2 5" xfId="31252" xr:uid="{00000000-0005-0000-0000-0000147A0000}"/>
    <cellStyle name="Normal 415 3" xfId="31253" xr:uid="{00000000-0005-0000-0000-0000157A0000}"/>
    <cellStyle name="Normal 415 3 2" xfId="31254" xr:uid="{00000000-0005-0000-0000-0000167A0000}"/>
    <cellStyle name="Normal 415 3 2 2" xfId="31255" xr:uid="{00000000-0005-0000-0000-0000177A0000}"/>
    <cellStyle name="Normal 415 3 2 2 2" xfId="31256" xr:uid="{00000000-0005-0000-0000-0000187A0000}"/>
    <cellStyle name="Normal 415 3 2 3" xfId="31257" xr:uid="{00000000-0005-0000-0000-0000197A0000}"/>
    <cellStyle name="Normal 415 3 2 3 2" xfId="31258" xr:uid="{00000000-0005-0000-0000-00001A7A0000}"/>
    <cellStyle name="Normal 415 3 2 3 2 2" xfId="31259" xr:uid="{00000000-0005-0000-0000-00001B7A0000}"/>
    <cellStyle name="Normal 415 3 2 3 3" xfId="31260" xr:uid="{00000000-0005-0000-0000-00001C7A0000}"/>
    <cellStyle name="Normal 415 3 2 4" xfId="31261" xr:uid="{00000000-0005-0000-0000-00001D7A0000}"/>
    <cellStyle name="Normal 415 3 3" xfId="31262" xr:uid="{00000000-0005-0000-0000-00001E7A0000}"/>
    <cellStyle name="Normal 415 3 3 2" xfId="31263" xr:uid="{00000000-0005-0000-0000-00001F7A0000}"/>
    <cellStyle name="Normal 415 3 3 2 2" xfId="31264" xr:uid="{00000000-0005-0000-0000-0000207A0000}"/>
    <cellStyle name="Normal 415 3 3 3" xfId="31265" xr:uid="{00000000-0005-0000-0000-0000217A0000}"/>
    <cellStyle name="Normal 415 3 4" xfId="31266" xr:uid="{00000000-0005-0000-0000-0000227A0000}"/>
    <cellStyle name="Normal 415 3 4 2" xfId="31267" xr:uid="{00000000-0005-0000-0000-0000237A0000}"/>
    <cellStyle name="Normal 415 3 4 2 2" xfId="31268" xr:uid="{00000000-0005-0000-0000-0000247A0000}"/>
    <cellStyle name="Normal 415 3 4 3" xfId="31269" xr:uid="{00000000-0005-0000-0000-0000257A0000}"/>
    <cellStyle name="Normal 415 3 5" xfId="31270" xr:uid="{00000000-0005-0000-0000-0000267A0000}"/>
    <cellStyle name="Normal 415 3 5 2" xfId="31271" xr:uid="{00000000-0005-0000-0000-0000277A0000}"/>
    <cellStyle name="Normal 415 3 5 2 2" xfId="31272" xr:uid="{00000000-0005-0000-0000-0000287A0000}"/>
    <cellStyle name="Normal 415 3 5 3" xfId="31273" xr:uid="{00000000-0005-0000-0000-0000297A0000}"/>
    <cellStyle name="Normal 415 3 6" xfId="31274" xr:uid="{00000000-0005-0000-0000-00002A7A0000}"/>
    <cellStyle name="Normal 415 4" xfId="31275" xr:uid="{00000000-0005-0000-0000-00002B7A0000}"/>
    <cellStyle name="Normal 415 4 2" xfId="31276" xr:uid="{00000000-0005-0000-0000-00002C7A0000}"/>
    <cellStyle name="Normal 415 4 2 2" xfId="31277" xr:uid="{00000000-0005-0000-0000-00002D7A0000}"/>
    <cellStyle name="Normal 415 4 3" xfId="31278" xr:uid="{00000000-0005-0000-0000-00002E7A0000}"/>
    <cellStyle name="Normal 415 5" xfId="31279" xr:uid="{00000000-0005-0000-0000-00002F7A0000}"/>
    <cellStyle name="Normal 415 5 2" xfId="31280" xr:uid="{00000000-0005-0000-0000-0000307A0000}"/>
    <cellStyle name="Normal 415 5 2 2" xfId="31281" xr:uid="{00000000-0005-0000-0000-0000317A0000}"/>
    <cellStyle name="Normal 415 5 3" xfId="31282" xr:uid="{00000000-0005-0000-0000-0000327A0000}"/>
    <cellStyle name="Normal 415 6" xfId="31283" xr:uid="{00000000-0005-0000-0000-0000337A0000}"/>
    <cellStyle name="Normal 415 6 2" xfId="31284" xr:uid="{00000000-0005-0000-0000-0000347A0000}"/>
    <cellStyle name="Normal 415 6 2 2" xfId="31285" xr:uid="{00000000-0005-0000-0000-0000357A0000}"/>
    <cellStyle name="Normal 415 6 3" xfId="31286" xr:uid="{00000000-0005-0000-0000-0000367A0000}"/>
    <cellStyle name="Normal 415 7" xfId="31287" xr:uid="{00000000-0005-0000-0000-0000377A0000}"/>
    <cellStyle name="Normal 416" xfId="31288" xr:uid="{00000000-0005-0000-0000-0000387A0000}"/>
    <cellStyle name="Normal 416 2" xfId="31289" xr:uid="{00000000-0005-0000-0000-0000397A0000}"/>
    <cellStyle name="Normal 416 2 2" xfId="31290" xr:uid="{00000000-0005-0000-0000-00003A7A0000}"/>
    <cellStyle name="Normal 416 2 2 2" xfId="31291" xr:uid="{00000000-0005-0000-0000-00003B7A0000}"/>
    <cellStyle name="Normal 416 2 3" xfId="31292" xr:uid="{00000000-0005-0000-0000-00003C7A0000}"/>
    <cellStyle name="Normal 416 2 3 2" xfId="31293" xr:uid="{00000000-0005-0000-0000-00003D7A0000}"/>
    <cellStyle name="Normal 416 2 3 2 2" xfId="31294" xr:uid="{00000000-0005-0000-0000-00003E7A0000}"/>
    <cellStyle name="Normal 416 2 3 3" xfId="31295" xr:uid="{00000000-0005-0000-0000-00003F7A0000}"/>
    <cellStyle name="Normal 416 2 4" xfId="31296" xr:uid="{00000000-0005-0000-0000-0000407A0000}"/>
    <cellStyle name="Normal 416 2 4 2" xfId="31297" xr:uid="{00000000-0005-0000-0000-0000417A0000}"/>
    <cellStyle name="Normal 416 2 4 2 2" xfId="31298" xr:uid="{00000000-0005-0000-0000-0000427A0000}"/>
    <cellStyle name="Normal 416 2 4 3" xfId="31299" xr:uid="{00000000-0005-0000-0000-0000437A0000}"/>
    <cellStyle name="Normal 416 2 5" xfId="31300" xr:uid="{00000000-0005-0000-0000-0000447A0000}"/>
    <cellStyle name="Normal 416 3" xfId="31301" xr:uid="{00000000-0005-0000-0000-0000457A0000}"/>
    <cellStyle name="Normal 416 3 2" xfId="31302" xr:uid="{00000000-0005-0000-0000-0000467A0000}"/>
    <cellStyle name="Normal 416 3 2 2" xfId="31303" xr:uid="{00000000-0005-0000-0000-0000477A0000}"/>
    <cellStyle name="Normal 416 3 2 2 2" xfId="31304" xr:uid="{00000000-0005-0000-0000-0000487A0000}"/>
    <cellStyle name="Normal 416 3 2 3" xfId="31305" xr:uid="{00000000-0005-0000-0000-0000497A0000}"/>
    <cellStyle name="Normal 416 3 2 3 2" xfId="31306" xr:uid="{00000000-0005-0000-0000-00004A7A0000}"/>
    <cellStyle name="Normal 416 3 2 3 2 2" xfId="31307" xr:uid="{00000000-0005-0000-0000-00004B7A0000}"/>
    <cellStyle name="Normal 416 3 2 3 3" xfId="31308" xr:uid="{00000000-0005-0000-0000-00004C7A0000}"/>
    <cellStyle name="Normal 416 3 2 4" xfId="31309" xr:uid="{00000000-0005-0000-0000-00004D7A0000}"/>
    <cellStyle name="Normal 416 3 3" xfId="31310" xr:uid="{00000000-0005-0000-0000-00004E7A0000}"/>
    <cellStyle name="Normal 416 3 3 2" xfId="31311" xr:uid="{00000000-0005-0000-0000-00004F7A0000}"/>
    <cellStyle name="Normal 416 3 3 2 2" xfId="31312" xr:uid="{00000000-0005-0000-0000-0000507A0000}"/>
    <cellStyle name="Normal 416 3 3 3" xfId="31313" xr:uid="{00000000-0005-0000-0000-0000517A0000}"/>
    <cellStyle name="Normal 416 3 4" xfId="31314" xr:uid="{00000000-0005-0000-0000-0000527A0000}"/>
    <cellStyle name="Normal 416 3 4 2" xfId="31315" xr:uid="{00000000-0005-0000-0000-0000537A0000}"/>
    <cellStyle name="Normal 416 3 4 2 2" xfId="31316" xr:uid="{00000000-0005-0000-0000-0000547A0000}"/>
    <cellStyle name="Normal 416 3 4 3" xfId="31317" xr:uid="{00000000-0005-0000-0000-0000557A0000}"/>
    <cellStyle name="Normal 416 3 5" xfId="31318" xr:uid="{00000000-0005-0000-0000-0000567A0000}"/>
    <cellStyle name="Normal 416 3 5 2" xfId="31319" xr:uid="{00000000-0005-0000-0000-0000577A0000}"/>
    <cellStyle name="Normal 416 3 5 2 2" xfId="31320" xr:uid="{00000000-0005-0000-0000-0000587A0000}"/>
    <cellStyle name="Normal 416 3 5 3" xfId="31321" xr:uid="{00000000-0005-0000-0000-0000597A0000}"/>
    <cellStyle name="Normal 416 3 6" xfId="31322" xr:uid="{00000000-0005-0000-0000-00005A7A0000}"/>
    <cellStyle name="Normal 416 4" xfId="31323" xr:uid="{00000000-0005-0000-0000-00005B7A0000}"/>
    <cellStyle name="Normal 416 4 2" xfId="31324" xr:uid="{00000000-0005-0000-0000-00005C7A0000}"/>
    <cellStyle name="Normal 416 4 2 2" xfId="31325" xr:uid="{00000000-0005-0000-0000-00005D7A0000}"/>
    <cellStyle name="Normal 416 4 3" xfId="31326" xr:uid="{00000000-0005-0000-0000-00005E7A0000}"/>
    <cellStyle name="Normal 416 5" xfId="31327" xr:uid="{00000000-0005-0000-0000-00005F7A0000}"/>
    <cellStyle name="Normal 416 5 2" xfId="31328" xr:uid="{00000000-0005-0000-0000-0000607A0000}"/>
    <cellStyle name="Normal 416 5 2 2" xfId="31329" xr:uid="{00000000-0005-0000-0000-0000617A0000}"/>
    <cellStyle name="Normal 416 5 3" xfId="31330" xr:uid="{00000000-0005-0000-0000-0000627A0000}"/>
    <cellStyle name="Normal 416 6" xfId="31331" xr:uid="{00000000-0005-0000-0000-0000637A0000}"/>
    <cellStyle name="Normal 416 6 2" xfId="31332" xr:uid="{00000000-0005-0000-0000-0000647A0000}"/>
    <cellStyle name="Normal 416 6 2 2" xfId="31333" xr:uid="{00000000-0005-0000-0000-0000657A0000}"/>
    <cellStyle name="Normal 416 6 3" xfId="31334" xr:uid="{00000000-0005-0000-0000-0000667A0000}"/>
    <cellStyle name="Normal 416 7" xfId="31335" xr:uid="{00000000-0005-0000-0000-0000677A0000}"/>
    <cellStyle name="Normal 417" xfId="31336" xr:uid="{00000000-0005-0000-0000-0000687A0000}"/>
    <cellStyle name="Normal 417 2" xfId="31337" xr:uid="{00000000-0005-0000-0000-0000697A0000}"/>
    <cellStyle name="Normal 417 2 2" xfId="31338" xr:uid="{00000000-0005-0000-0000-00006A7A0000}"/>
    <cellStyle name="Normal 417 2 2 2" xfId="31339" xr:uid="{00000000-0005-0000-0000-00006B7A0000}"/>
    <cellStyle name="Normal 417 2 3" xfId="31340" xr:uid="{00000000-0005-0000-0000-00006C7A0000}"/>
    <cellStyle name="Normal 417 2 3 2" xfId="31341" xr:uid="{00000000-0005-0000-0000-00006D7A0000}"/>
    <cellStyle name="Normal 417 2 3 2 2" xfId="31342" xr:uid="{00000000-0005-0000-0000-00006E7A0000}"/>
    <cellStyle name="Normal 417 2 3 3" xfId="31343" xr:uid="{00000000-0005-0000-0000-00006F7A0000}"/>
    <cellStyle name="Normal 417 2 4" xfId="31344" xr:uid="{00000000-0005-0000-0000-0000707A0000}"/>
    <cellStyle name="Normal 417 2 4 2" xfId="31345" xr:uid="{00000000-0005-0000-0000-0000717A0000}"/>
    <cellStyle name="Normal 417 2 4 2 2" xfId="31346" xr:uid="{00000000-0005-0000-0000-0000727A0000}"/>
    <cellStyle name="Normal 417 2 4 3" xfId="31347" xr:uid="{00000000-0005-0000-0000-0000737A0000}"/>
    <cellStyle name="Normal 417 2 5" xfId="31348" xr:uid="{00000000-0005-0000-0000-0000747A0000}"/>
    <cellStyle name="Normal 417 3" xfId="31349" xr:uid="{00000000-0005-0000-0000-0000757A0000}"/>
    <cellStyle name="Normal 417 3 2" xfId="31350" xr:uid="{00000000-0005-0000-0000-0000767A0000}"/>
    <cellStyle name="Normal 417 3 2 2" xfId="31351" xr:uid="{00000000-0005-0000-0000-0000777A0000}"/>
    <cellStyle name="Normal 417 3 2 2 2" xfId="31352" xr:uid="{00000000-0005-0000-0000-0000787A0000}"/>
    <cellStyle name="Normal 417 3 2 3" xfId="31353" xr:uid="{00000000-0005-0000-0000-0000797A0000}"/>
    <cellStyle name="Normal 417 3 2 3 2" xfId="31354" xr:uid="{00000000-0005-0000-0000-00007A7A0000}"/>
    <cellStyle name="Normal 417 3 2 3 2 2" xfId="31355" xr:uid="{00000000-0005-0000-0000-00007B7A0000}"/>
    <cellStyle name="Normal 417 3 2 3 3" xfId="31356" xr:uid="{00000000-0005-0000-0000-00007C7A0000}"/>
    <cellStyle name="Normal 417 3 2 4" xfId="31357" xr:uid="{00000000-0005-0000-0000-00007D7A0000}"/>
    <cellStyle name="Normal 417 3 3" xfId="31358" xr:uid="{00000000-0005-0000-0000-00007E7A0000}"/>
    <cellStyle name="Normal 417 3 3 2" xfId="31359" xr:uid="{00000000-0005-0000-0000-00007F7A0000}"/>
    <cellStyle name="Normal 417 3 3 2 2" xfId="31360" xr:uid="{00000000-0005-0000-0000-0000807A0000}"/>
    <cellStyle name="Normal 417 3 3 3" xfId="31361" xr:uid="{00000000-0005-0000-0000-0000817A0000}"/>
    <cellStyle name="Normal 417 3 4" xfId="31362" xr:uid="{00000000-0005-0000-0000-0000827A0000}"/>
    <cellStyle name="Normal 417 3 4 2" xfId="31363" xr:uid="{00000000-0005-0000-0000-0000837A0000}"/>
    <cellStyle name="Normal 417 3 4 2 2" xfId="31364" xr:uid="{00000000-0005-0000-0000-0000847A0000}"/>
    <cellStyle name="Normal 417 3 4 3" xfId="31365" xr:uid="{00000000-0005-0000-0000-0000857A0000}"/>
    <cellStyle name="Normal 417 3 5" xfId="31366" xr:uid="{00000000-0005-0000-0000-0000867A0000}"/>
    <cellStyle name="Normal 417 3 5 2" xfId="31367" xr:uid="{00000000-0005-0000-0000-0000877A0000}"/>
    <cellStyle name="Normal 417 3 5 2 2" xfId="31368" xr:uid="{00000000-0005-0000-0000-0000887A0000}"/>
    <cellStyle name="Normal 417 3 5 3" xfId="31369" xr:uid="{00000000-0005-0000-0000-0000897A0000}"/>
    <cellStyle name="Normal 417 3 6" xfId="31370" xr:uid="{00000000-0005-0000-0000-00008A7A0000}"/>
    <cellStyle name="Normal 417 4" xfId="31371" xr:uid="{00000000-0005-0000-0000-00008B7A0000}"/>
    <cellStyle name="Normal 417 4 2" xfId="31372" xr:uid="{00000000-0005-0000-0000-00008C7A0000}"/>
    <cellStyle name="Normal 417 4 2 2" xfId="31373" xr:uid="{00000000-0005-0000-0000-00008D7A0000}"/>
    <cellStyle name="Normal 417 4 3" xfId="31374" xr:uid="{00000000-0005-0000-0000-00008E7A0000}"/>
    <cellStyle name="Normal 417 5" xfId="31375" xr:uid="{00000000-0005-0000-0000-00008F7A0000}"/>
    <cellStyle name="Normal 417 5 2" xfId="31376" xr:uid="{00000000-0005-0000-0000-0000907A0000}"/>
    <cellStyle name="Normal 417 5 2 2" xfId="31377" xr:uid="{00000000-0005-0000-0000-0000917A0000}"/>
    <cellStyle name="Normal 417 5 3" xfId="31378" xr:uid="{00000000-0005-0000-0000-0000927A0000}"/>
    <cellStyle name="Normal 417 6" xfId="31379" xr:uid="{00000000-0005-0000-0000-0000937A0000}"/>
    <cellStyle name="Normal 417 6 2" xfId="31380" xr:uid="{00000000-0005-0000-0000-0000947A0000}"/>
    <cellStyle name="Normal 417 6 2 2" xfId="31381" xr:uid="{00000000-0005-0000-0000-0000957A0000}"/>
    <cellStyle name="Normal 417 6 3" xfId="31382" xr:uid="{00000000-0005-0000-0000-0000967A0000}"/>
    <cellStyle name="Normal 417 7" xfId="31383" xr:uid="{00000000-0005-0000-0000-0000977A0000}"/>
    <cellStyle name="Normal 418" xfId="31384" xr:uid="{00000000-0005-0000-0000-0000987A0000}"/>
    <cellStyle name="Normal 418 2" xfId="31385" xr:uid="{00000000-0005-0000-0000-0000997A0000}"/>
    <cellStyle name="Normal 418 2 2" xfId="31386" xr:uid="{00000000-0005-0000-0000-00009A7A0000}"/>
    <cellStyle name="Normal 418 2 2 2" xfId="31387" xr:uid="{00000000-0005-0000-0000-00009B7A0000}"/>
    <cellStyle name="Normal 418 2 3" xfId="31388" xr:uid="{00000000-0005-0000-0000-00009C7A0000}"/>
    <cellStyle name="Normal 418 2 3 2" xfId="31389" xr:uid="{00000000-0005-0000-0000-00009D7A0000}"/>
    <cellStyle name="Normal 418 2 3 2 2" xfId="31390" xr:uid="{00000000-0005-0000-0000-00009E7A0000}"/>
    <cellStyle name="Normal 418 2 3 3" xfId="31391" xr:uid="{00000000-0005-0000-0000-00009F7A0000}"/>
    <cellStyle name="Normal 418 2 4" xfId="31392" xr:uid="{00000000-0005-0000-0000-0000A07A0000}"/>
    <cellStyle name="Normal 418 2 4 2" xfId="31393" xr:uid="{00000000-0005-0000-0000-0000A17A0000}"/>
    <cellStyle name="Normal 418 2 4 2 2" xfId="31394" xr:uid="{00000000-0005-0000-0000-0000A27A0000}"/>
    <cellStyle name="Normal 418 2 4 3" xfId="31395" xr:uid="{00000000-0005-0000-0000-0000A37A0000}"/>
    <cellStyle name="Normal 418 2 5" xfId="31396" xr:uid="{00000000-0005-0000-0000-0000A47A0000}"/>
    <cellStyle name="Normal 418 3" xfId="31397" xr:uid="{00000000-0005-0000-0000-0000A57A0000}"/>
    <cellStyle name="Normal 418 3 2" xfId="31398" xr:uid="{00000000-0005-0000-0000-0000A67A0000}"/>
    <cellStyle name="Normal 418 3 2 2" xfId="31399" xr:uid="{00000000-0005-0000-0000-0000A77A0000}"/>
    <cellStyle name="Normal 418 3 2 2 2" xfId="31400" xr:uid="{00000000-0005-0000-0000-0000A87A0000}"/>
    <cellStyle name="Normal 418 3 2 3" xfId="31401" xr:uid="{00000000-0005-0000-0000-0000A97A0000}"/>
    <cellStyle name="Normal 418 3 2 3 2" xfId="31402" xr:uid="{00000000-0005-0000-0000-0000AA7A0000}"/>
    <cellStyle name="Normal 418 3 2 3 2 2" xfId="31403" xr:uid="{00000000-0005-0000-0000-0000AB7A0000}"/>
    <cellStyle name="Normal 418 3 2 3 3" xfId="31404" xr:uid="{00000000-0005-0000-0000-0000AC7A0000}"/>
    <cellStyle name="Normal 418 3 2 4" xfId="31405" xr:uid="{00000000-0005-0000-0000-0000AD7A0000}"/>
    <cellStyle name="Normal 418 3 3" xfId="31406" xr:uid="{00000000-0005-0000-0000-0000AE7A0000}"/>
    <cellStyle name="Normal 418 3 3 2" xfId="31407" xr:uid="{00000000-0005-0000-0000-0000AF7A0000}"/>
    <cellStyle name="Normal 418 3 3 2 2" xfId="31408" xr:uid="{00000000-0005-0000-0000-0000B07A0000}"/>
    <cellStyle name="Normal 418 3 3 3" xfId="31409" xr:uid="{00000000-0005-0000-0000-0000B17A0000}"/>
    <cellStyle name="Normal 418 3 4" xfId="31410" xr:uid="{00000000-0005-0000-0000-0000B27A0000}"/>
    <cellStyle name="Normal 418 3 4 2" xfId="31411" xr:uid="{00000000-0005-0000-0000-0000B37A0000}"/>
    <cellStyle name="Normal 418 3 4 2 2" xfId="31412" xr:uid="{00000000-0005-0000-0000-0000B47A0000}"/>
    <cellStyle name="Normal 418 3 4 3" xfId="31413" xr:uid="{00000000-0005-0000-0000-0000B57A0000}"/>
    <cellStyle name="Normal 418 3 5" xfId="31414" xr:uid="{00000000-0005-0000-0000-0000B67A0000}"/>
    <cellStyle name="Normal 418 3 5 2" xfId="31415" xr:uid="{00000000-0005-0000-0000-0000B77A0000}"/>
    <cellStyle name="Normal 418 3 5 2 2" xfId="31416" xr:uid="{00000000-0005-0000-0000-0000B87A0000}"/>
    <cellStyle name="Normal 418 3 5 3" xfId="31417" xr:uid="{00000000-0005-0000-0000-0000B97A0000}"/>
    <cellStyle name="Normal 418 3 6" xfId="31418" xr:uid="{00000000-0005-0000-0000-0000BA7A0000}"/>
    <cellStyle name="Normal 418 4" xfId="31419" xr:uid="{00000000-0005-0000-0000-0000BB7A0000}"/>
    <cellStyle name="Normal 418 4 2" xfId="31420" xr:uid="{00000000-0005-0000-0000-0000BC7A0000}"/>
    <cellStyle name="Normal 418 4 2 2" xfId="31421" xr:uid="{00000000-0005-0000-0000-0000BD7A0000}"/>
    <cellStyle name="Normal 418 4 3" xfId="31422" xr:uid="{00000000-0005-0000-0000-0000BE7A0000}"/>
    <cellStyle name="Normal 418 5" xfId="31423" xr:uid="{00000000-0005-0000-0000-0000BF7A0000}"/>
    <cellStyle name="Normal 418 5 2" xfId="31424" xr:uid="{00000000-0005-0000-0000-0000C07A0000}"/>
    <cellStyle name="Normal 418 5 2 2" xfId="31425" xr:uid="{00000000-0005-0000-0000-0000C17A0000}"/>
    <cellStyle name="Normal 418 5 3" xfId="31426" xr:uid="{00000000-0005-0000-0000-0000C27A0000}"/>
    <cellStyle name="Normal 418 6" xfId="31427" xr:uid="{00000000-0005-0000-0000-0000C37A0000}"/>
    <cellStyle name="Normal 418 6 2" xfId="31428" xr:uid="{00000000-0005-0000-0000-0000C47A0000}"/>
    <cellStyle name="Normal 418 6 2 2" xfId="31429" xr:uid="{00000000-0005-0000-0000-0000C57A0000}"/>
    <cellStyle name="Normal 418 6 3" xfId="31430" xr:uid="{00000000-0005-0000-0000-0000C67A0000}"/>
    <cellStyle name="Normal 418 7" xfId="31431" xr:uid="{00000000-0005-0000-0000-0000C77A0000}"/>
    <cellStyle name="Normal 419" xfId="31432" xr:uid="{00000000-0005-0000-0000-0000C87A0000}"/>
    <cellStyle name="Normal 419 2" xfId="31433" xr:uid="{00000000-0005-0000-0000-0000C97A0000}"/>
    <cellStyle name="Normal 419 2 2" xfId="31434" xr:uid="{00000000-0005-0000-0000-0000CA7A0000}"/>
    <cellStyle name="Normal 419 2 2 2" xfId="31435" xr:uid="{00000000-0005-0000-0000-0000CB7A0000}"/>
    <cellStyle name="Normal 419 2 3" xfId="31436" xr:uid="{00000000-0005-0000-0000-0000CC7A0000}"/>
    <cellStyle name="Normal 419 2 3 2" xfId="31437" xr:uid="{00000000-0005-0000-0000-0000CD7A0000}"/>
    <cellStyle name="Normal 419 2 3 2 2" xfId="31438" xr:uid="{00000000-0005-0000-0000-0000CE7A0000}"/>
    <cellStyle name="Normal 419 2 3 3" xfId="31439" xr:uid="{00000000-0005-0000-0000-0000CF7A0000}"/>
    <cellStyle name="Normal 419 2 4" xfId="31440" xr:uid="{00000000-0005-0000-0000-0000D07A0000}"/>
    <cellStyle name="Normal 419 2 4 2" xfId="31441" xr:uid="{00000000-0005-0000-0000-0000D17A0000}"/>
    <cellStyle name="Normal 419 2 4 2 2" xfId="31442" xr:uid="{00000000-0005-0000-0000-0000D27A0000}"/>
    <cellStyle name="Normal 419 2 4 3" xfId="31443" xr:uid="{00000000-0005-0000-0000-0000D37A0000}"/>
    <cellStyle name="Normal 419 2 5" xfId="31444" xr:uid="{00000000-0005-0000-0000-0000D47A0000}"/>
    <cellStyle name="Normal 419 3" xfId="31445" xr:uid="{00000000-0005-0000-0000-0000D57A0000}"/>
    <cellStyle name="Normal 419 3 2" xfId="31446" xr:uid="{00000000-0005-0000-0000-0000D67A0000}"/>
    <cellStyle name="Normal 419 3 2 2" xfId="31447" xr:uid="{00000000-0005-0000-0000-0000D77A0000}"/>
    <cellStyle name="Normal 419 3 2 2 2" xfId="31448" xr:uid="{00000000-0005-0000-0000-0000D87A0000}"/>
    <cellStyle name="Normal 419 3 2 3" xfId="31449" xr:uid="{00000000-0005-0000-0000-0000D97A0000}"/>
    <cellStyle name="Normal 419 3 2 3 2" xfId="31450" xr:uid="{00000000-0005-0000-0000-0000DA7A0000}"/>
    <cellStyle name="Normal 419 3 2 3 2 2" xfId="31451" xr:uid="{00000000-0005-0000-0000-0000DB7A0000}"/>
    <cellStyle name="Normal 419 3 2 3 3" xfId="31452" xr:uid="{00000000-0005-0000-0000-0000DC7A0000}"/>
    <cellStyle name="Normal 419 3 2 4" xfId="31453" xr:uid="{00000000-0005-0000-0000-0000DD7A0000}"/>
    <cellStyle name="Normal 419 3 3" xfId="31454" xr:uid="{00000000-0005-0000-0000-0000DE7A0000}"/>
    <cellStyle name="Normal 419 3 3 2" xfId="31455" xr:uid="{00000000-0005-0000-0000-0000DF7A0000}"/>
    <cellStyle name="Normal 419 3 3 2 2" xfId="31456" xr:uid="{00000000-0005-0000-0000-0000E07A0000}"/>
    <cellStyle name="Normal 419 3 3 3" xfId="31457" xr:uid="{00000000-0005-0000-0000-0000E17A0000}"/>
    <cellStyle name="Normal 419 3 4" xfId="31458" xr:uid="{00000000-0005-0000-0000-0000E27A0000}"/>
    <cellStyle name="Normal 419 3 4 2" xfId="31459" xr:uid="{00000000-0005-0000-0000-0000E37A0000}"/>
    <cellStyle name="Normal 419 3 4 2 2" xfId="31460" xr:uid="{00000000-0005-0000-0000-0000E47A0000}"/>
    <cellStyle name="Normal 419 3 4 3" xfId="31461" xr:uid="{00000000-0005-0000-0000-0000E57A0000}"/>
    <cellStyle name="Normal 419 3 5" xfId="31462" xr:uid="{00000000-0005-0000-0000-0000E67A0000}"/>
    <cellStyle name="Normal 419 3 5 2" xfId="31463" xr:uid="{00000000-0005-0000-0000-0000E77A0000}"/>
    <cellStyle name="Normal 419 3 5 2 2" xfId="31464" xr:uid="{00000000-0005-0000-0000-0000E87A0000}"/>
    <cellStyle name="Normal 419 3 5 3" xfId="31465" xr:uid="{00000000-0005-0000-0000-0000E97A0000}"/>
    <cellStyle name="Normal 419 3 6" xfId="31466" xr:uid="{00000000-0005-0000-0000-0000EA7A0000}"/>
    <cellStyle name="Normal 419 4" xfId="31467" xr:uid="{00000000-0005-0000-0000-0000EB7A0000}"/>
    <cellStyle name="Normal 419 4 2" xfId="31468" xr:uid="{00000000-0005-0000-0000-0000EC7A0000}"/>
    <cellStyle name="Normal 419 4 2 2" xfId="31469" xr:uid="{00000000-0005-0000-0000-0000ED7A0000}"/>
    <cellStyle name="Normal 419 4 3" xfId="31470" xr:uid="{00000000-0005-0000-0000-0000EE7A0000}"/>
    <cellStyle name="Normal 419 5" xfId="31471" xr:uid="{00000000-0005-0000-0000-0000EF7A0000}"/>
    <cellStyle name="Normal 419 5 2" xfId="31472" xr:uid="{00000000-0005-0000-0000-0000F07A0000}"/>
    <cellStyle name="Normal 419 5 2 2" xfId="31473" xr:uid="{00000000-0005-0000-0000-0000F17A0000}"/>
    <cellStyle name="Normal 419 5 3" xfId="31474" xr:uid="{00000000-0005-0000-0000-0000F27A0000}"/>
    <cellStyle name="Normal 419 6" xfId="31475" xr:uid="{00000000-0005-0000-0000-0000F37A0000}"/>
    <cellStyle name="Normal 419 6 2" xfId="31476" xr:uid="{00000000-0005-0000-0000-0000F47A0000}"/>
    <cellStyle name="Normal 419 6 2 2" xfId="31477" xr:uid="{00000000-0005-0000-0000-0000F57A0000}"/>
    <cellStyle name="Normal 419 6 3" xfId="31478" xr:uid="{00000000-0005-0000-0000-0000F67A0000}"/>
    <cellStyle name="Normal 419 7" xfId="31479" xr:uid="{00000000-0005-0000-0000-0000F77A0000}"/>
    <cellStyle name="Normal 42" xfId="31480" xr:uid="{00000000-0005-0000-0000-0000F87A0000}"/>
    <cellStyle name="Normal 42 2" xfId="31481" xr:uid="{00000000-0005-0000-0000-0000F97A0000}"/>
    <cellStyle name="Normal 42 2 2" xfId="31482" xr:uid="{00000000-0005-0000-0000-0000FA7A0000}"/>
    <cellStyle name="Normal 42 2 2 2" xfId="31483" xr:uid="{00000000-0005-0000-0000-0000FB7A0000}"/>
    <cellStyle name="Normal 42 2 2 2 2" xfId="31484" xr:uid="{00000000-0005-0000-0000-0000FC7A0000}"/>
    <cellStyle name="Normal 42 2 2 3" xfId="31485" xr:uid="{00000000-0005-0000-0000-0000FD7A0000}"/>
    <cellStyle name="Normal 42 2 2 3 2" xfId="31486" xr:uid="{00000000-0005-0000-0000-0000FE7A0000}"/>
    <cellStyle name="Normal 42 2 2 3 2 2" xfId="31487" xr:uid="{00000000-0005-0000-0000-0000FF7A0000}"/>
    <cellStyle name="Normal 42 2 2 3 3" xfId="31488" xr:uid="{00000000-0005-0000-0000-0000007B0000}"/>
    <cellStyle name="Normal 42 2 2 4" xfId="31489" xr:uid="{00000000-0005-0000-0000-0000017B0000}"/>
    <cellStyle name="Normal 42 2 2 4 2" xfId="31490" xr:uid="{00000000-0005-0000-0000-0000027B0000}"/>
    <cellStyle name="Normal 42 2 2 4 2 2" xfId="31491" xr:uid="{00000000-0005-0000-0000-0000037B0000}"/>
    <cellStyle name="Normal 42 2 2 4 3" xfId="31492" xr:uid="{00000000-0005-0000-0000-0000047B0000}"/>
    <cellStyle name="Normal 42 2 2 5" xfId="31493" xr:uid="{00000000-0005-0000-0000-0000057B0000}"/>
    <cellStyle name="Normal 42 2 3" xfId="31494" xr:uid="{00000000-0005-0000-0000-0000067B0000}"/>
    <cellStyle name="Normal 42 2 3 2" xfId="31495" xr:uid="{00000000-0005-0000-0000-0000077B0000}"/>
    <cellStyle name="Normal 42 2 3 2 2" xfId="31496" xr:uid="{00000000-0005-0000-0000-0000087B0000}"/>
    <cellStyle name="Normal 42 2 3 3" xfId="31497" xr:uid="{00000000-0005-0000-0000-0000097B0000}"/>
    <cellStyle name="Normal 42 2 4" xfId="31498" xr:uid="{00000000-0005-0000-0000-00000A7B0000}"/>
    <cellStyle name="Normal 42 2 4 2" xfId="31499" xr:uid="{00000000-0005-0000-0000-00000B7B0000}"/>
    <cellStyle name="Normal 42 2 4 2 2" xfId="31500" xr:uid="{00000000-0005-0000-0000-00000C7B0000}"/>
    <cellStyle name="Normal 42 2 4 3" xfId="31501" xr:uid="{00000000-0005-0000-0000-00000D7B0000}"/>
    <cellStyle name="Normal 42 2 5" xfId="31502" xr:uid="{00000000-0005-0000-0000-00000E7B0000}"/>
    <cellStyle name="Normal 42 2 5 2" xfId="31503" xr:uid="{00000000-0005-0000-0000-00000F7B0000}"/>
    <cellStyle name="Normal 42 2 5 2 2" xfId="31504" xr:uid="{00000000-0005-0000-0000-0000107B0000}"/>
    <cellStyle name="Normal 42 2 5 3" xfId="31505" xr:uid="{00000000-0005-0000-0000-0000117B0000}"/>
    <cellStyle name="Normal 42 2 6" xfId="31506" xr:uid="{00000000-0005-0000-0000-0000127B0000}"/>
    <cellStyle name="Normal 42 3" xfId="31507" xr:uid="{00000000-0005-0000-0000-0000137B0000}"/>
    <cellStyle name="Normal 42 3 2" xfId="31508" xr:uid="{00000000-0005-0000-0000-0000147B0000}"/>
    <cellStyle name="Normal 42 3 2 2" xfId="31509" xr:uid="{00000000-0005-0000-0000-0000157B0000}"/>
    <cellStyle name="Normal 42 3 3" xfId="31510" xr:uid="{00000000-0005-0000-0000-0000167B0000}"/>
    <cellStyle name="Normal 42 3 3 2" xfId="31511" xr:uid="{00000000-0005-0000-0000-0000177B0000}"/>
    <cellStyle name="Normal 42 3 3 2 2" xfId="31512" xr:uid="{00000000-0005-0000-0000-0000187B0000}"/>
    <cellStyle name="Normal 42 3 3 3" xfId="31513" xr:uid="{00000000-0005-0000-0000-0000197B0000}"/>
    <cellStyle name="Normal 42 3 4" xfId="31514" xr:uid="{00000000-0005-0000-0000-00001A7B0000}"/>
    <cellStyle name="Normal 42 3 4 2" xfId="31515" xr:uid="{00000000-0005-0000-0000-00001B7B0000}"/>
    <cellStyle name="Normal 42 3 4 2 2" xfId="31516" xr:uid="{00000000-0005-0000-0000-00001C7B0000}"/>
    <cellStyle name="Normal 42 3 4 3" xfId="31517" xr:uid="{00000000-0005-0000-0000-00001D7B0000}"/>
    <cellStyle name="Normal 42 3 5" xfId="31518" xr:uid="{00000000-0005-0000-0000-00001E7B0000}"/>
    <cellStyle name="Normal 42 4" xfId="31519" xr:uid="{00000000-0005-0000-0000-00001F7B0000}"/>
    <cellStyle name="Normal 42 4 2" xfId="31520" xr:uid="{00000000-0005-0000-0000-0000207B0000}"/>
    <cellStyle name="Normal 42 4 2 2" xfId="31521" xr:uid="{00000000-0005-0000-0000-0000217B0000}"/>
    <cellStyle name="Normal 42 4 3" xfId="31522" xr:uid="{00000000-0005-0000-0000-0000227B0000}"/>
    <cellStyle name="Normal 42 5" xfId="31523" xr:uid="{00000000-0005-0000-0000-0000237B0000}"/>
    <cellStyle name="Normal 42 5 2" xfId="31524" xr:uid="{00000000-0005-0000-0000-0000247B0000}"/>
    <cellStyle name="Normal 42 5 2 2" xfId="31525" xr:uid="{00000000-0005-0000-0000-0000257B0000}"/>
    <cellStyle name="Normal 42 5 3" xfId="31526" xr:uid="{00000000-0005-0000-0000-0000267B0000}"/>
    <cellStyle name="Normal 42 6" xfId="31527" xr:uid="{00000000-0005-0000-0000-0000277B0000}"/>
    <cellStyle name="Normal 42 6 2" xfId="31528" xr:uid="{00000000-0005-0000-0000-0000287B0000}"/>
    <cellStyle name="Normal 42 6 2 2" xfId="31529" xr:uid="{00000000-0005-0000-0000-0000297B0000}"/>
    <cellStyle name="Normal 42 6 3" xfId="31530" xr:uid="{00000000-0005-0000-0000-00002A7B0000}"/>
    <cellStyle name="Normal 42 7" xfId="31531" xr:uid="{00000000-0005-0000-0000-00002B7B0000}"/>
    <cellStyle name="Normal 420" xfId="31532" xr:uid="{00000000-0005-0000-0000-00002C7B0000}"/>
    <cellStyle name="Normal 420 2" xfId="31533" xr:uid="{00000000-0005-0000-0000-00002D7B0000}"/>
    <cellStyle name="Normal 420 2 2" xfId="31534" xr:uid="{00000000-0005-0000-0000-00002E7B0000}"/>
    <cellStyle name="Normal 420 2 2 2" xfId="31535" xr:uid="{00000000-0005-0000-0000-00002F7B0000}"/>
    <cellStyle name="Normal 420 2 3" xfId="31536" xr:uid="{00000000-0005-0000-0000-0000307B0000}"/>
    <cellStyle name="Normal 420 2 3 2" xfId="31537" xr:uid="{00000000-0005-0000-0000-0000317B0000}"/>
    <cellStyle name="Normal 420 2 3 2 2" xfId="31538" xr:uid="{00000000-0005-0000-0000-0000327B0000}"/>
    <cellStyle name="Normal 420 2 3 3" xfId="31539" xr:uid="{00000000-0005-0000-0000-0000337B0000}"/>
    <cellStyle name="Normal 420 2 4" xfId="31540" xr:uid="{00000000-0005-0000-0000-0000347B0000}"/>
    <cellStyle name="Normal 420 2 4 2" xfId="31541" xr:uid="{00000000-0005-0000-0000-0000357B0000}"/>
    <cellStyle name="Normal 420 2 4 2 2" xfId="31542" xr:uid="{00000000-0005-0000-0000-0000367B0000}"/>
    <cellStyle name="Normal 420 2 4 3" xfId="31543" xr:uid="{00000000-0005-0000-0000-0000377B0000}"/>
    <cellStyle name="Normal 420 2 5" xfId="31544" xr:uid="{00000000-0005-0000-0000-0000387B0000}"/>
    <cellStyle name="Normal 420 3" xfId="31545" xr:uid="{00000000-0005-0000-0000-0000397B0000}"/>
    <cellStyle name="Normal 420 3 2" xfId="31546" xr:uid="{00000000-0005-0000-0000-00003A7B0000}"/>
    <cellStyle name="Normal 420 3 2 2" xfId="31547" xr:uid="{00000000-0005-0000-0000-00003B7B0000}"/>
    <cellStyle name="Normal 420 3 2 2 2" xfId="31548" xr:uid="{00000000-0005-0000-0000-00003C7B0000}"/>
    <cellStyle name="Normal 420 3 2 3" xfId="31549" xr:uid="{00000000-0005-0000-0000-00003D7B0000}"/>
    <cellStyle name="Normal 420 3 2 3 2" xfId="31550" xr:uid="{00000000-0005-0000-0000-00003E7B0000}"/>
    <cellStyle name="Normal 420 3 2 3 2 2" xfId="31551" xr:uid="{00000000-0005-0000-0000-00003F7B0000}"/>
    <cellStyle name="Normal 420 3 2 3 3" xfId="31552" xr:uid="{00000000-0005-0000-0000-0000407B0000}"/>
    <cellStyle name="Normal 420 3 2 4" xfId="31553" xr:uid="{00000000-0005-0000-0000-0000417B0000}"/>
    <cellStyle name="Normal 420 3 3" xfId="31554" xr:uid="{00000000-0005-0000-0000-0000427B0000}"/>
    <cellStyle name="Normal 420 3 3 2" xfId="31555" xr:uid="{00000000-0005-0000-0000-0000437B0000}"/>
    <cellStyle name="Normal 420 3 3 2 2" xfId="31556" xr:uid="{00000000-0005-0000-0000-0000447B0000}"/>
    <cellStyle name="Normal 420 3 3 3" xfId="31557" xr:uid="{00000000-0005-0000-0000-0000457B0000}"/>
    <cellStyle name="Normal 420 3 4" xfId="31558" xr:uid="{00000000-0005-0000-0000-0000467B0000}"/>
    <cellStyle name="Normal 420 3 4 2" xfId="31559" xr:uid="{00000000-0005-0000-0000-0000477B0000}"/>
    <cellStyle name="Normal 420 3 4 2 2" xfId="31560" xr:uid="{00000000-0005-0000-0000-0000487B0000}"/>
    <cellStyle name="Normal 420 3 4 3" xfId="31561" xr:uid="{00000000-0005-0000-0000-0000497B0000}"/>
    <cellStyle name="Normal 420 3 5" xfId="31562" xr:uid="{00000000-0005-0000-0000-00004A7B0000}"/>
    <cellStyle name="Normal 420 3 5 2" xfId="31563" xr:uid="{00000000-0005-0000-0000-00004B7B0000}"/>
    <cellStyle name="Normal 420 3 5 2 2" xfId="31564" xr:uid="{00000000-0005-0000-0000-00004C7B0000}"/>
    <cellStyle name="Normal 420 3 5 3" xfId="31565" xr:uid="{00000000-0005-0000-0000-00004D7B0000}"/>
    <cellStyle name="Normal 420 3 6" xfId="31566" xr:uid="{00000000-0005-0000-0000-00004E7B0000}"/>
    <cellStyle name="Normal 420 4" xfId="31567" xr:uid="{00000000-0005-0000-0000-00004F7B0000}"/>
    <cellStyle name="Normal 420 4 2" xfId="31568" xr:uid="{00000000-0005-0000-0000-0000507B0000}"/>
    <cellStyle name="Normal 420 4 2 2" xfId="31569" xr:uid="{00000000-0005-0000-0000-0000517B0000}"/>
    <cellStyle name="Normal 420 4 3" xfId="31570" xr:uid="{00000000-0005-0000-0000-0000527B0000}"/>
    <cellStyle name="Normal 420 5" xfId="31571" xr:uid="{00000000-0005-0000-0000-0000537B0000}"/>
    <cellStyle name="Normal 420 5 2" xfId="31572" xr:uid="{00000000-0005-0000-0000-0000547B0000}"/>
    <cellStyle name="Normal 420 5 2 2" xfId="31573" xr:uid="{00000000-0005-0000-0000-0000557B0000}"/>
    <cellStyle name="Normal 420 5 3" xfId="31574" xr:uid="{00000000-0005-0000-0000-0000567B0000}"/>
    <cellStyle name="Normal 420 6" xfId="31575" xr:uid="{00000000-0005-0000-0000-0000577B0000}"/>
    <cellStyle name="Normal 420 6 2" xfId="31576" xr:uid="{00000000-0005-0000-0000-0000587B0000}"/>
    <cellStyle name="Normal 420 6 2 2" xfId="31577" xr:uid="{00000000-0005-0000-0000-0000597B0000}"/>
    <cellStyle name="Normal 420 6 3" xfId="31578" xr:uid="{00000000-0005-0000-0000-00005A7B0000}"/>
    <cellStyle name="Normal 420 7" xfId="31579" xr:uid="{00000000-0005-0000-0000-00005B7B0000}"/>
    <cellStyle name="Normal 421" xfId="31580" xr:uid="{00000000-0005-0000-0000-00005C7B0000}"/>
    <cellStyle name="Normal 421 2" xfId="31581" xr:uid="{00000000-0005-0000-0000-00005D7B0000}"/>
    <cellStyle name="Normal 421 2 2" xfId="31582" xr:uid="{00000000-0005-0000-0000-00005E7B0000}"/>
    <cellStyle name="Normal 421 2 2 2" xfId="31583" xr:uid="{00000000-0005-0000-0000-00005F7B0000}"/>
    <cellStyle name="Normal 421 2 2 2 2" xfId="31584" xr:uid="{00000000-0005-0000-0000-0000607B0000}"/>
    <cellStyle name="Normal 421 2 2 3" xfId="31585" xr:uid="{00000000-0005-0000-0000-0000617B0000}"/>
    <cellStyle name="Normal 421 2 2 3 2" xfId="31586" xr:uid="{00000000-0005-0000-0000-0000627B0000}"/>
    <cellStyle name="Normal 421 2 2 3 2 2" xfId="31587" xr:uid="{00000000-0005-0000-0000-0000637B0000}"/>
    <cellStyle name="Normal 421 2 2 3 3" xfId="31588" xr:uid="{00000000-0005-0000-0000-0000647B0000}"/>
    <cellStyle name="Normal 421 2 2 4" xfId="31589" xr:uid="{00000000-0005-0000-0000-0000657B0000}"/>
    <cellStyle name="Normal 421 2 2 4 2" xfId="31590" xr:uid="{00000000-0005-0000-0000-0000667B0000}"/>
    <cellStyle name="Normal 421 2 2 4 2 2" xfId="31591" xr:uid="{00000000-0005-0000-0000-0000677B0000}"/>
    <cellStyle name="Normal 421 2 2 4 3" xfId="31592" xr:uid="{00000000-0005-0000-0000-0000687B0000}"/>
    <cellStyle name="Normal 421 2 2 5" xfId="31593" xr:uid="{00000000-0005-0000-0000-0000697B0000}"/>
    <cellStyle name="Normal 421 2 3" xfId="31594" xr:uid="{00000000-0005-0000-0000-00006A7B0000}"/>
    <cellStyle name="Normal 421 2 3 2" xfId="31595" xr:uid="{00000000-0005-0000-0000-00006B7B0000}"/>
    <cellStyle name="Normal 421 2 3 2 2" xfId="31596" xr:uid="{00000000-0005-0000-0000-00006C7B0000}"/>
    <cellStyle name="Normal 421 2 3 2 2 2" xfId="31597" xr:uid="{00000000-0005-0000-0000-00006D7B0000}"/>
    <cellStyle name="Normal 421 2 3 2 3" xfId="31598" xr:uid="{00000000-0005-0000-0000-00006E7B0000}"/>
    <cellStyle name="Normal 421 2 3 2 3 2" xfId="31599" xr:uid="{00000000-0005-0000-0000-00006F7B0000}"/>
    <cellStyle name="Normal 421 2 3 2 3 2 2" xfId="31600" xr:uid="{00000000-0005-0000-0000-0000707B0000}"/>
    <cellStyle name="Normal 421 2 3 2 3 3" xfId="31601" xr:uid="{00000000-0005-0000-0000-0000717B0000}"/>
    <cellStyle name="Normal 421 2 3 2 4" xfId="31602" xr:uid="{00000000-0005-0000-0000-0000727B0000}"/>
    <cellStyle name="Normal 421 2 3 3" xfId="31603" xr:uid="{00000000-0005-0000-0000-0000737B0000}"/>
    <cellStyle name="Normal 421 2 3 3 2" xfId="31604" xr:uid="{00000000-0005-0000-0000-0000747B0000}"/>
    <cellStyle name="Normal 421 2 3 3 2 2" xfId="31605" xr:uid="{00000000-0005-0000-0000-0000757B0000}"/>
    <cellStyle name="Normal 421 2 3 3 3" xfId="31606" xr:uid="{00000000-0005-0000-0000-0000767B0000}"/>
    <cellStyle name="Normal 421 2 3 4" xfId="31607" xr:uid="{00000000-0005-0000-0000-0000777B0000}"/>
    <cellStyle name="Normal 421 2 3 4 2" xfId="31608" xr:uid="{00000000-0005-0000-0000-0000787B0000}"/>
    <cellStyle name="Normal 421 2 3 4 2 2" xfId="31609" xr:uid="{00000000-0005-0000-0000-0000797B0000}"/>
    <cellStyle name="Normal 421 2 3 4 3" xfId="31610" xr:uid="{00000000-0005-0000-0000-00007A7B0000}"/>
    <cellStyle name="Normal 421 2 3 5" xfId="31611" xr:uid="{00000000-0005-0000-0000-00007B7B0000}"/>
    <cellStyle name="Normal 421 2 3 5 2" xfId="31612" xr:uid="{00000000-0005-0000-0000-00007C7B0000}"/>
    <cellStyle name="Normal 421 2 3 5 2 2" xfId="31613" xr:uid="{00000000-0005-0000-0000-00007D7B0000}"/>
    <cellStyle name="Normal 421 2 3 5 3" xfId="31614" xr:uid="{00000000-0005-0000-0000-00007E7B0000}"/>
    <cellStyle name="Normal 421 2 3 6" xfId="31615" xr:uid="{00000000-0005-0000-0000-00007F7B0000}"/>
    <cellStyle name="Normal 421 2 4" xfId="31616" xr:uid="{00000000-0005-0000-0000-0000807B0000}"/>
    <cellStyle name="Normal 421 2 4 2" xfId="31617" xr:uid="{00000000-0005-0000-0000-0000817B0000}"/>
    <cellStyle name="Normal 421 2 4 2 2" xfId="31618" xr:uid="{00000000-0005-0000-0000-0000827B0000}"/>
    <cellStyle name="Normal 421 2 4 3" xfId="31619" xr:uid="{00000000-0005-0000-0000-0000837B0000}"/>
    <cellStyle name="Normal 421 2 5" xfId="31620" xr:uid="{00000000-0005-0000-0000-0000847B0000}"/>
    <cellStyle name="Normal 421 2 5 2" xfId="31621" xr:uid="{00000000-0005-0000-0000-0000857B0000}"/>
    <cellStyle name="Normal 421 2 5 2 2" xfId="31622" xr:uid="{00000000-0005-0000-0000-0000867B0000}"/>
    <cellStyle name="Normal 421 2 5 3" xfId="31623" xr:uid="{00000000-0005-0000-0000-0000877B0000}"/>
    <cellStyle name="Normal 421 2 6" xfId="31624" xr:uid="{00000000-0005-0000-0000-0000887B0000}"/>
    <cellStyle name="Normal 421 2 6 2" xfId="31625" xr:uid="{00000000-0005-0000-0000-0000897B0000}"/>
    <cellStyle name="Normal 421 2 6 2 2" xfId="31626" xr:uid="{00000000-0005-0000-0000-00008A7B0000}"/>
    <cellStyle name="Normal 421 2 6 3" xfId="31627" xr:uid="{00000000-0005-0000-0000-00008B7B0000}"/>
    <cellStyle name="Normal 421 2 7" xfId="31628" xr:uid="{00000000-0005-0000-0000-00008C7B0000}"/>
    <cellStyle name="Normal 421 3" xfId="31629" xr:uid="{00000000-0005-0000-0000-00008D7B0000}"/>
    <cellStyle name="Normal 421 3 2" xfId="31630" xr:uid="{00000000-0005-0000-0000-00008E7B0000}"/>
    <cellStyle name="Normal 421 3 2 2" xfId="31631" xr:uid="{00000000-0005-0000-0000-00008F7B0000}"/>
    <cellStyle name="Normal 421 3 3" xfId="31632" xr:uid="{00000000-0005-0000-0000-0000907B0000}"/>
    <cellStyle name="Normal 421 3 3 2" xfId="31633" xr:uid="{00000000-0005-0000-0000-0000917B0000}"/>
    <cellStyle name="Normal 421 3 3 2 2" xfId="31634" xr:uid="{00000000-0005-0000-0000-0000927B0000}"/>
    <cellStyle name="Normal 421 3 3 3" xfId="31635" xr:uid="{00000000-0005-0000-0000-0000937B0000}"/>
    <cellStyle name="Normal 421 3 4" xfId="31636" xr:uid="{00000000-0005-0000-0000-0000947B0000}"/>
    <cellStyle name="Normal 421 3 4 2" xfId="31637" xr:uid="{00000000-0005-0000-0000-0000957B0000}"/>
    <cellStyle name="Normal 421 3 4 2 2" xfId="31638" xr:uid="{00000000-0005-0000-0000-0000967B0000}"/>
    <cellStyle name="Normal 421 3 4 3" xfId="31639" xr:uid="{00000000-0005-0000-0000-0000977B0000}"/>
    <cellStyle name="Normal 421 3 5" xfId="31640" xr:uid="{00000000-0005-0000-0000-0000987B0000}"/>
    <cellStyle name="Normal 421 4" xfId="31641" xr:uid="{00000000-0005-0000-0000-0000997B0000}"/>
    <cellStyle name="Normal 421 4 2" xfId="31642" xr:uid="{00000000-0005-0000-0000-00009A7B0000}"/>
    <cellStyle name="Normal 421 4 2 2" xfId="31643" xr:uid="{00000000-0005-0000-0000-00009B7B0000}"/>
    <cellStyle name="Normal 421 4 2 2 2" xfId="31644" xr:uid="{00000000-0005-0000-0000-00009C7B0000}"/>
    <cellStyle name="Normal 421 4 2 3" xfId="31645" xr:uid="{00000000-0005-0000-0000-00009D7B0000}"/>
    <cellStyle name="Normal 421 4 2 3 2" xfId="31646" xr:uid="{00000000-0005-0000-0000-00009E7B0000}"/>
    <cellStyle name="Normal 421 4 2 3 2 2" xfId="31647" xr:uid="{00000000-0005-0000-0000-00009F7B0000}"/>
    <cellStyle name="Normal 421 4 2 3 3" xfId="31648" xr:uid="{00000000-0005-0000-0000-0000A07B0000}"/>
    <cellStyle name="Normal 421 4 2 4" xfId="31649" xr:uid="{00000000-0005-0000-0000-0000A17B0000}"/>
    <cellStyle name="Normal 421 4 3" xfId="31650" xr:uid="{00000000-0005-0000-0000-0000A27B0000}"/>
    <cellStyle name="Normal 421 4 3 2" xfId="31651" xr:uid="{00000000-0005-0000-0000-0000A37B0000}"/>
    <cellStyle name="Normal 421 4 3 2 2" xfId="31652" xr:uid="{00000000-0005-0000-0000-0000A47B0000}"/>
    <cellStyle name="Normal 421 4 3 3" xfId="31653" xr:uid="{00000000-0005-0000-0000-0000A57B0000}"/>
    <cellStyle name="Normal 421 4 4" xfId="31654" xr:uid="{00000000-0005-0000-0000-0000A67B0000}"/>
    <cellStyle name="Normal 421 4 4 2" xfId="31655" xr:uid="{00000000-0005-0000-0000-0000A77B0000}"/>
    <cellStyle name="Normal 421 4 4 2 2" xfId="31656" xr:uid="{00000000-0005-0000-0000-0000A87B0000}"/>
    <cellStyle name="Normal 421 4 4 3" xfId="31657" xr:uid="{00000000-0005-0000-0000-0000A97B0000}"/>
    <cellStyle name="Normal 421 4 5" xfId="31658" xr:uid="{00000000-0005-0000-0000-0000AA7B0000}"/>
    <cellStyle name="Normal 421 4 5 2" xfId="31659" xr:uid="{00000000-0005-0000-0000-0000AB7B0000}"/>
    <cellStyle name="Normal 421 4 5 2 2" xfId="31660" xr:uid="{00000000-0005-0000-0000-0000AC7B0000}"/>
    <cellStyle name="Normal 421 4 5 3" xfId="31661" xr:uid="{00000000-0005-0000-0000-0000AD7B0000}"/>
    <cellStyle name="Normal 421 4 6" xfId="31662" xr:uid="{00000000-0005-0000-0000-0000AE7B0000}"/>
    <cellStyle name="Normal 421 5" xfId="31663" xr:uid="{00000000-0005-0000-0000-0000AF7B0000}"/>
    <cellStyle name="Normal 421 5 2" xfId="31664" xr:uid="{00000000-0005-0000-0000-0000B07B0000}"/>
    <cellStyle name="Normal 421 5 2 2" xfId="31665" xr:uid="{00000000-0005-0000-0000-0000B17B0000}"/>
    <cellStyle name="Normal 421 5 3" xfId="31666" xr:uid="{00000000-0005-0000-0000-0000B27B0000}"/>
    <cellStyle name="Normal 421 6" xfId="31667" xr:uid="{00000000-0005-0000-0000-0000B37B0000}"/>
    <cellStyle name="Normal 421 6 2" xfId="31668" xr:uid="{00000000-0005-0000-0000-0000B47B0000}"/>
    <cellStyle name="Normal 421 6 2 2" xfId="31669" xr:uid="{00000000-0005-0000-0000-0000B57B0000}"/>
    <cellStyle name="Normal 421 6 3" xfId="31670" xr:uid="{00000000-0005-0000-0000-0000B67B0000}"/>
    <cellStyle name="Normal 421 7" xfId="31671" xr:uid="{00000000-0005-0000-0000-0000B77B0000}"/>
    <cellStyle name="Normal 421 7 2" xfId="31672" xr:uid="{00000000-0005-0000-0000-0000B87B0000}"/>
    <cellStyle name="Normal 421 7 2 2" xfId="31673" xr:uid="{00000000-0005-0000-0000-0000B97B0000}"/>
    <cellStyle name="Normal 421 7 3" xfId="31674" xr:uid="{00000000-0005-0000-0000-0000BA7B0000}"/>
    <cellStyle name="Normal 421 8" xfId="31675" xr:uid="{00000000-0005-0000-0000-0000BB7B0000}"/>
    <cellStyle name="Normal 421 8 2" xfId="31676" xr:uid="{00000000-0005-0000-0000-0000BC7B0000}"/>
    <cellStyle name="Normal 6" xfId="49" xr:uid="{00000000-0005-0000-0000-000031000000}"/>
    <cellStyle name="Normal 7" xfId="7" xr:uid="{00000000-0005-0000-0000-000007000000}"/>
    <cellStyle name="Normal 747 3" xfId="48" xr:uid="{00000000-0005-0000-0000-000030000000}"/>
    <cellStyle name="Normal 749" xfId="31677" xr:uid="{00000000-0005-0000-0000-0000BD7B0000}"/>
    <cellStyle name="Normal 750 2" xfId="31682" xr:uid="{00000000-0005-0000-0000-0000C27B0000}"/>
    <cellStyle name="Normal 8" xfId="74" xr:uid="{00000000-0005-0000-0000-00004A000000}"/>
    <cellStyle name="Normal 9" xfId="75" xr:uid="{00000000-0005-0000-0000-00004B000000}"/>
    <cellStyle name="Normal_ITC Model I Updated to May 1 2009 FLE's" xfId="31683" xr:uid="{00000000-0005-0000-0000-0000C37B0000}"/>
    <cellStyle name="Percent" xfId="1" xr:uid="{00000000-0005-0000-0000-000001000000}"/>
    <cellStyle name="Percent 10" xfId="31678" xr:uid="{00000000-0005-0000-0000-0000BE7B0000}"/>
    <cellStyle name="Percent 156" xfId="31679" xr:uid="{00000000-0005-0000-0000-0000BF7B0000}"/>
    <cellStyle name="Percent 2" xfId="78" xr:uid="{00000000-0005-0000-0000-00004E000000}"/>
    <cellStyle name="Percent 3" xfId="31684" xr:uid="{00000000-0005-0000-0000-0000C47B0000}"/>
    <cellStyle name="Percent 41" xfId="76" xr:uid="{00000000-0005-0000-0000-00004C000000}"/>
    <cellStyle name="Percent 45" xfId="77" xr:uid="{00000000-0005-0000-0000-00004D000000}"/>
    <cellStyle name="SAPBorder" xfId="13" xr:uid="{00000000-0005-0000-0000-00000D000000}"/>
    <cellStyle name="SAPDataCell" xfId="14" xr:uid="{00000000-0005-0000-0000-00000E000000}"/>
    <cellStyle name="SAPDataTotalCell" xfId="15" xr:uid="{00000000-0005-0000-0000-00000F000000}"/>
    <cellStyle name="SAPDimensionCell" xfId="16" xr:uid="{00000000-0005-0000-0000-000010000000}"/>
    <cellStyle name="SAPDimensionCell 3" xfId="31686" xr:uid="{00000000-0005-0000-0000-0000C67B0000}"/>
    <cellStyle name="SAPEditableDataCell" xfId="17" xr:uid="{00000000-0005-0000-0000-000011000000}"/>
    <cellStyle name="SAPEditableDataTotalCell" xfId="18" xr:uid="{00000000-0005-0000-0000-000012000000}"/>
    <cellStyle name="SAPEmphasized" xfId="19" xr:uid="{00000000-0005-0000-0000-000013000000}"/>
    <cellStyle name="SAPEmphasizedEditableDataCell" xfId="20" xr:uid="{00000000-0005-0000-0000-000014000000}"/>
    <cellStyle name="SAPEmphasizedEditableDataTotalCell" xfId="21" xr:uid="{00000000-0005-0000-0000-000015000000}"/>
    <cellStyle name="SAPEmphasizedLockedDataCell" xfId="22" xr:uid="{00000000-0005-0000-0000-000016000000}"/>
    <cellStyle name="SAPEmphasizedLockedDataTotalCell" xfId="23" xr:uid="{00000000-0005-0000-0000-000017000000}"/>
    <cellStyle name="SAPEmphasizedReadonlyDataCell" xfId="24" xr:uid="{00000000-0005-0000-0000-000018000000}"/>
    <cellStyle name="SAPEmphasizedReadonlyDataTotalCell" xfId="25" xr:uid="{00000000-0005-0000-0000-000019000000}"/>
    <cellStyle name="SAPEmphasizedTotal" xfId="26" xr:uid="{00000000-0005-0000-0000-00001A000000}"/>
    <cellStyle name="SAPExceptionLevel1" xfId="27" xr:uid="{00000000-0005-0000-0000-00001B000000}"/>
    <cellStyle name="SAPExceptionLevel2" xfId="28" xr:uid="{00000000-0005-0000-0000-00001C000000}"/>
    <cellStyle name="SAPExceptionLevel3" xfId="29" xr:uid="{00000000-0005-0000-0000-00001D000000}"/>
    <cellStyle name="SAPExceptionLevel4" xfId="30" xr:uid="{00000000-0005-0000-0000-00001E000000}"/>
    <cellStyle name="SAPExceptionLevel5" xfId="31" xr:uid="{00000000-0005-0000-0000-00001F000000}"/>
    <cellStyle name="SAPExceptionLevel6" xfId="32" xr:uid="{00000000-0005-0000-0000-000020000000}"/>
    <cellStyle name="SAPExceptionLevel7" xfId="33" xr:uid="{00000000-0005-0000-0000-000021000000}"/>
    <cellStyle name="SAPExceptionLevel7 2" xfId="31687" xr:uid="{00000000-0005-0000-0000-0000C77B0000}"/>
    <cellStyle name="SAPExceptionLevel8" xfId="34" xr:uid="{00000000-0005-0000-0000-000022000000}"/>
    <cellStyle name="SAPExceptionLevel9" xfId="35" xr:uid="{00000000-0005-0000-0000-000023000000}"/>
    <cellStyle name="SAPHierarchyCell0" xfId="36" xr:uid="{00000000-0005-0000-0000-000024000000}"/>
    <cellStyle name="SAPHierarchyCell1" xfId="37" xr:uid="{00000000-0005-0000-0000-000025000000}"/>
    <cellStyle name="SAPHierarchyCell2" xfId="38" xr:uid="{00000000-0005-0000-0000-000026000000}"/>
    <cellStyle name="SAPHierarchyCell3" xfId="39" xr:uid="{00000000-0005-0000-0000-000027000000}"/>
    <cellStyle name="SAPHierarchyCell4" xfId="40" xr:uid="{00000000-0005-0000-0000-000028000000}"/>
    <cellStyle name="SAPLockedDataCell" xfId="41" xr:uid="{00000000-0005-0000-0000-000029000000}"/>
    <cellStyle name="SAPLockedDataTotalCell" xfId="42" xr:uid="{00000000-0005-0000-0000-00002A000000}"/>
    <cellStyle name="SAPMemberCell" xfId="43" xr:uid="{00000000-0005-0000-0000-00002B000000}"/>
    <cellStyle name="SAPMemberTotalCell" xfId="44" xr:uid="{00000000-0005-0000-0000-00002C000000}"/>
    <cellStyle name="SAPMemberTotalCell 3" xfId="31688" xr:uid="{00000000-0005-0000-0000-0000C87B0000}"/>
    <cellStyle name="SAPReadonlyDataCell" xfId="45" xr:uid="{00000000-0005-0000-0000-00002D000000}"/>
    <cellStyle name="SAPReadonlyDataTotalCell" xfId="46" xr:uid="{00000000-0005-0000-0000-00002E000000}"/>
  </cellStyles>
  <dxfs count="7">
    <dxf>
      <fill>
        <patternFill>
          <bgColor indexed="42"/>
        </patternFill>
      </fill>
    </dxf>
    <dxf>
      <fill>
        <patternFill>
          <bgColor indexed="42"/>
        </patternFill>
      </fill>
    </dxf>
    <dxf>
      <fill>
        <patternFill>
          <bgColor indexed="42"/>
        </patternFill>
      </fill>
    </dxf>
    <dxf>
      <fill>
        <patternFill>
          <bgColor indexed="42"/>
        </patternFill>
      </fill>
    </dxf>
    <dxf>
      <font>
        <color auto="1"/>
      </font>
    </dxf>
    <dxf>
      <font>
        <color auto="1"/>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55"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4GRC/2PreNOI_Run_MayRun/Input/lkpCommonUC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utility.pge.com/2014GRC/2PreNOI_Run_MayRun/Input/lkpCommonU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kpCommonUCC"/>
      <sheetName val="lkpUCC"/>
      <sheetName val="1_1"/>
    </sheetNames>
    <sheetDataSet>
      <sheetData sheetId="0"/>
      <sheetData sheetId="1"/>
      <sheetData sheetId="2">
        <row r="48">
          <cell r="Y48">
            <v>0</v>
          </cell>
          <cell r="Z48" t="str">
            <v>UCC</v>
          </cell>
        </row>
        <row r="49">
          <cell r="Y49" t="str">
            <v>%</v>
          </cell>
          <cell r="Z49">
            <v>0</v>
          </cell>
        </row>
        <row r="50">
          <cell r="Z50">
            <v>0</v>
          </cell>
        </row>
        <row r="51">
          <cell r="Z51">
            <v>0</v>
          </cell>
        </row>
        <row r="52">
          <cell r="Z52">
            <v>0</v>
          </cell>
        </row>
        <row r="53">
          <cell r="Z53">
            <v>0</v>
          </cell>
        </row>
        <row r="54">
          <cell r="Y54">
            <v>0.23698295087111601</v>
          </cell>
          <cell r="Z54">
            <v>0</v>
          </cell>
          <cell r="AA54">
            <v>0</v>
          </cell>
          <cell r="AB54" t="str">
            <v>UCC 801</v>
          </cell>
        </row>
        <row r="55">
          <cell r="Y55">
            <v>9.9599641230363901E-3</v>
          </cell>
          <cell r="Z55">
            <v>101</v>
          </cell>
          <cell r="AA55">
            <v>0</v>
          </cell>
          <cell r="AB55">
            <v>1.38251925124657E-2</v>
          </cell>
        </row>
        <row r="56">
          <cell r="Y56">
            <v>1.02674510796912E-4</v>
          </cell>
          <cell r="Z56">
            <v>102</v>
          </cell>
          <cell r="AA56">
            <v>0</v>
          </cell>
          <cell r="AB56">
            <v>1.4252007942552701E-4</v>
          </cell>
        </row>
        <row r="57">
          <cell r="Y57">
            <v>1.89629315040784E-5</v>
          </cell>
          <cell r="Z57">
            <v>108</v>
          </cell>
          <cell r="AA57">
            <v>0</v>
          </cell>
          <cell r="AB57">
            <v>2.6322000301007201E-5</v>
          </cell>
        </row>
        <row r="58">
          <cell r="Y58">
            <v>5.2980187022685303E-2</v>
          </cell>
          <cell r="Z58">
            <v>120</v>
          </cell>
          <cell r="AA58">
            <v>0</v>
          </cell>
          <cell r="AB58">
            <v>7.3540554552897694E-2</v>
          </cell>
        </row>
        <row r="59">
          <cell r="Y59">
            <v>1.6941294285856799E-3</v>
          </cell>
          <cell r="Z59">
            <v>121</v>
          </cell>
          <cell r="AA59">
            <v>0</v>
          </cell>
          <cell r="AB59">
            <v>2.3515813111272799E-3</v>
          </cell>
        </row>
        <row r="60">
          <cell r="Y60">
            <v>0.14748024465541501</v>
          </cell>
          <cell r="Z60">
            <v>130</v>
          </cell>
          <cell r="AA60">
            <v>0</v>
          </cell>
          <cell r="AB60">
            <v>0.204713867335203</v>
          </cell>
        </row>
        <row r="61">
          <cell r="Y61">
            <v>2.4741134505622799E-2</v>
          </cell>
          <cell r="Z61">
            <v>141</v>
          </cell>
          <cell r="AA61">
            <v>0</v>
          </cell>
          <cell r="AB61">
            <v>3.4342588315746402E-2</v>
          </cell>
        </row>
        <row r="62">
          <cell r="Y62">
            <v>5.6536934698964502E-6</v>
          </cell>
          <cell r="Z62">
            <v>142</v>
          </cell>
          <cell r="AA62">
            <v>0</v>
          </cell>
          <cell r="AB62">
            <v>7.8477592551768907E-6</v>
          </cell>
        </row>
        <row r="63">
          <cell r="Y63">
            <v>1.6283764154209699E-3</v>
          </cell>
          <cell r="Z63">
            <v>0</v>
          </cell>
          <cell r="AA63">
            <v>0</v>
          </cell>
          <cell r="AB63">
            <v>0</v>
          </cell>
        </row>
        <row r="64">
          <cell r="Y64">
            <v>1.6283764154209699E-3</v>
          </cell>
          <cell r="Z64">
            <v>134</v>
          </cell>
          <cell r="AA64">
            <v>0</v>
          </cell>
          <cell r="AB64">
            <v>2.2603110962904301E-3</v>
          </cell>
        </row>
        <row r="65">
          <cell r="Y65">
            <v>6.19191471346602E-2</v>
          </cell>
          <cell r="Z65">
            <v>0</v>
          </cell>
          <cell r="AA65" t="str">
            <v>UCC 200</v>
          </cell>
          <cell r="AB65">
            <v>0</v>
          </cell>
        </row>
        <row r="66">
          <cell r="Y66">
            <v>3.0276146362615799E-2</v>
          </cell>
          <cell r="Z66">
            <v>201</v>
          </cell>
          <cell r="AA66">
            <v>0.49351464441813597</v>
          </cell>
          <cell r="AB66">
            <v>4.2025608408632002E-2</v>
          </cell>
        </row>
        <row r="67">
          <cell r="Y67">
            <v>3.1071873812777401E-2</v>
          </cell>
          <cell r="Z67">
            <v>202</v>
          </cell>
          <cell r="AA67">
            <v>0.50648535558186403</v>
          </cell>
          <cell r="AB67">
            <v>4.31301390123612E-2</v>
          </cell>
        </row>
        <row r="68">
          <cell r="Y68">
            <v>4.49200941618554E-5</v>
          </cell>
          <cell r="Z68">
            <v>203</v>
          </cell>
          <cell r="AA68">
            <v>0</v>
          </cell>
          <cell r="AB68">
            <v>6.2352528763568604E-5</v>
          </cell>
        </row>
        <row r="69">
          <cell r="Y69">
            <v>5.2620686510519005E-4</v>
          </cell>
          <cell r="Z69">
            <v>204</v>
          </cell>
          <cell r="AA69">
            <v>0</v>
          </cell>
          <cell r="AB69">
            <v>7.3041540326778699E-4</v>
          </cell>
        </row>
        <row r="70">
          <cell r="Y70">
            <v>0.41989089505020999</v>
          </cell>
          <cell r="Z70">
            <v>0</v>
          </cell>
          <cell r="AA70" t="str">
            <v>UCC 300</v>
          </cell>
          <cell r="AB70">
            <v>0</v>
          </cell>
        </row>
        <row r="71">
          <cell r="Y71">
            <v>0.351169366553163</v>
          </cell>
          <cell r="Z71">
            <v>301</v>
          </cell>
          <cell r="AA71">
            <v>0.549550775957237</v>
          </cell>
          <cell r="AB71">
            <v>0.48744995836370802</v>
          </cell>
        </row>
        <row r="72">
          <cell r="Y72">
            <v>4.5561815219517099E-4</v>
          </cell>
          <cell r="Z72">
            <v>302</v>
          </cell>
          <cell r="AA72">
            <v>4.49224042762632E-4</v>
          </cell>
          <cell r="AB72">
            <v>6.3243286707259996E-4</v>
          </cell>
        </row>
        <row r="73">
          <cell r="Y73">
            <v>6.14270106355582E-2</v>
          </cell>
          <cell r="Z73">
            <v>303</v>
          </cell>
          <cell r="AA73">
            <v>0</v>
          </cell>
          <cell r="AB73">
            <v>8.5265392225426104E-2</v>
          </cell>
        </row>
        <row r="74">
          <cell r="Y74">
            <v>6.8388997092938301E-3</v>
          </cell>
          <cell r="Z74">
            <v>307</v>
          </cell>
          <cell r="AA74">
            <v>0</v>
          </cell>
          <cell r="AB74">
            <v>9.4929162280565308E-3</v>
          </cell>
        </row>
        <row r="75">
          <cell r="Y75">
            <v>0.720421369471407</v>
          </cell>
          <cell r="Z75">
            <v>0</v>
          </cell>
        </row>
        <row r="76">
          <cell r="Z76">
            <v>0</v>
          </cell>
        </row>
        <row r="77">
          <cell r="Z77">
            <v>0</v>
          </cell>
        </row>
        <row r="78">
          <cell r="Y78">
            <v>5.41106961502303E-2</v>
          </cell>
          <cell r="Z78">
            <v>0</v>
          </cell>
          <cell r="AA78" t="str">
            <v>UCC 500</v>
          </cell>
          <cell r="AB78" t="str">
            <v>UCC 510</v>
          </cell>
          <cell r="AC78" t="str">
            <v>UCC 802</v>
          </cell>
        </row>
        <row r="79">
          <cell r="Y79">
            <v>2.74213668635234E-3</v>
          </cell>
          <cell r="Z79">
            <v>501</v>
          </cell>
          <cell r="AA79">
            <v>5.0676425946160501E-2</v>
          </cell>
          <cell r="AB79">
            <v>0</v>
          </cell>
          <cell r="AC79">
            <v>9.8081054377004602E-3</v>
          </cell>
        </row>
        <row r="80">
          <cell r="Y80">
            <v>0</v>
          </cell>
          <cell r="Z80">
            <v>510</v>
          </cell>
          <cell r="AA80">
            <v>0</v>
          </cell>
          <cell r="AB80">
            <v>0</v>
          </cell>
          <cell r="AC80">
            <v>0</v>
          </cell>
        </row>
        <row r="81">
          <cell r="Y81">
            <v>4.9220238023240399E-3</v>
          </cell>
          <cell r="Z81">
            <v>511</v>
          </cell>
          <cell r="AA81">
            <v>9.0962123064518896E-2</v>
          </cell>
          <cell r="AB81">
            <v>0.62728885522715205</v>
          </cell>
          <cell r="AC81">
            <v>1.7605150268524002E-2</v>
          </cell>
        </row>
        <row r="82">
          <cell r="Y82">
            <v>2.9150460350218601E-3</v>
          </cell>
          <cell r="Z82">
            <v>512</v>
          </cell>
          <cell r="AA82">
            <v>5.38719004266488E-2</v>
          </cell>
          <cell r="AB82">
            <v>0.37150894909933302</v>
          </cell>
          <cell r="AC82">
            <v>1.04265695468586E-2</v>
          </cell>
        </row>
        <row r="83">
          <cell r="Y83">
            <v>9.4330318015112206E-6</v>
          </cell>
          <cell r="Z83">
            <v>513</v>
          </cell>
          <cell r="AA83">
            <v>1.7432841328305599E-4</v>
          </cell>
          <cell r="AB83">
            <v>1.20219567351489E-3</v>
          </cell>
          <cell r="AC83">
            <v>3.3740174575132601E-5</v>
          </cell>
        </row>
        <row r="84">
          <cell r="Y84">
            <v>2.19891710468345E-2</v>
          </cell>
          <cell r="Z84">
            <v>520</v>
          </cell>
          <cell r="AA84">
            <v>0.40637383384949999</v>
          </cell>
          <cell r="AB84">
            <v>0</v>
          </cell>
          <cell r="AC84">
            <v>7.8651115091522103E-2</v>
          </cell>
        </row>
        <row r="85">
          <cell r="Y85">
            <v>6.8122666972948395E-4</v>
          </cell>
          <cell r="Z85">
            <v>521</v>
          </cell>
          <cell r="AA85">
            <v>1.25895011189315E-2</v>
          </cell>
          <cell r="AB85">
            <v>0</v>
          </cell>
          <cell r="AC85">
            <v>2.4366192381781999E-3</v>
          </cell>
        </row>
        <row r="86">
          <cell r="Y86">
            <v>3.65175496455387E-3</v>
          </cell>
          <cell r="Z86">
            <v>522</v>
          </cell>
          <cell r="AA86">
            <v>6.7486748912180206E-2</v>
          </cell>
          <cell r="AB86">
            <v>0</v>
          </cell>
          <cell r="AC86">
            <v>1.3061638357873001E-2</v>
          </cell>
        </row>
        <row r="87">
          <cell r="Y87">
            <v>0</v>
          </cell>
          <cell r="Z87">
            <v>523</v>
          </cell>
          <cell r="AA87">
            <v>0</v>
          </cell>
          <cell r="AB87">
            <v>0</v>
          </cell>
          <cell r="AC87">
            <v>0</v>
          </cell>
        </row>
        <row r="88">
          <cell r="Y88">
            <v>1.19496714626757E-3</v>
          </cell>
          <cell r="Z88">
            <v>524</v>
          </cell>
          <cell r="AA88">
            <v>2.2083751111793601E-2</v>
          </cell>
          <cell r="AB88">
            <v>0</v>
          </cell>
          <cell r="AC88">
            <v>4.2741719708987696E-3</v>
          </cell>
        </row>
        <row r="89">
          <cell r="Y89">
            <v>1.2902366177907101E-2</v>
          </cell>
          <cell r="Z89">
            <v>525</v>
          </cell>
          <cell r="AA89">
            <v>0.238443913973785</v>
          </cell>
          <cell r="AB89">
            <v>0</v>
          </cell>
          <cell r="AC89">
            <v>4.6149328915135499E-2</v>
          </cell>
        </row>
        <row r="90">
          <cell r="Y90">
            <v>2.0893346085865999E-3</v>
          </cell>
          <cell r="Z90">
            <v>526</v>
          </cell>
          <cell r="AA90">
            <v>3.8612229323124497E-2</v>
          </cell>
          <cell r="AB90">
            <v>0</v>
          </cell>
          <cell r="AC90">
            <v>7.4731556007565604E-3</v>
          </cell>
        </row>
        <row r="91">
          <cell r="Y91">
            <v>0</v>
          </cell>
          <cell r="Z91">
            <v>527</v>
          </cell>
          <cell r="AA91">
            <v>0</v>
          </cell>
          <cell r="AB91">
            <v>0</v>
          </cell>
          <cell r="AC91">
            <v>0</v>
          </cell>
        </row>
        <row r="92">
          <cell r="Y92">
            <v>1.01323598085141E-3</v>
          </cell>
          <cell r="Z92">
            <v>540</v>
          </cell>
          <cell r="AA92">
            <v>1.8725243860073699E-2</v>
          </cell>
          <cell r="AB92">
            <v>0</v>
          </cell>
          <cell r="AC92">
            <v>3.6241538880697399E-3</v>
          </cell>
        </row>
        <row r="93">
          <cell r="Y93">
            <v>0.22546793437836199</v>
          </cell>
          <cell r="Z93">
            <v>0</v>
          </cell>
          <cell r="AA93" t="str">
            <v>UCC 300</v>
          </cell>
          <cell r="AB93">
            <v>0</v>
          </cell>
          <cell r="AC93">
            <v>0</v>
          </cell>
        </row>
        <row r="94">
          <cell r="Y94">
            <v>0.206656660879358</v>
          </cell>
          <cell r="Z94">
            <v>601</v>
          </cell>
          <cell r="AA94">
            <v>0.45</v>
          </cell>
          <cell r="AB94">
            <v>0</v>
          </cell>
          <cell r="AC94">
            <v>0.73917187622186098</v>
          </cell>
        </row>
        <row r="95">
          <cell r="Y95">
            <v>2.3298697156248901E-3</v>
          </cell>
          <cell r="Z95">
            <v>602</v>
          </cell>
          <cell r="AA95">
            <v>0</v>
          </cell>
          <cell r="AB95">
            <v>0</v>
          </cell>
          <cell r="AC95">
            <v>8.3335042854307591E-3</v>
          </cell>
        </row>
        <row r="96">
          <cell r="Y96">
            <v>1.39519477286703E-2</v>
          </cell>
          <cell r="Z96">
            <v>603</v>
          </cell>
          <cell r="AA96">
            <v>0</v>
          </cell>
          <cell r="AB96">
            <v>0</v>
          </cell>
          <cell r="AC96">
            <v>4.9903484047731698E-2</v>
          </cell>
        </row>
        <row r="97">
          <cell r="Y97">
            <v>2.5294560547088202E-3</v>
          </cell>
          <cell r="Z97">
            <v>604</v>
          </cell>
          <cell r="AA97">
            <v>0</v>
          </cell>
          <cell r="AB97">
            <v>0</v>
          </cell>
          <cell r="AC97">
            <v>9.0473869548843497E-3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kpCommonUCC"/>
      <sheetName val="lkpUCC"/>
      <sheetName val="1_1"/>
    </sheetNames>
    <sheetDataSet>
      <sheetData sheetId="0"/>
      <sheetData sheetId="1"/>
      <sheetData sheetId="2">
        <row r="48">
          <cell r="Y48">
            <v>0</v>
          </cell>
          <cell r="Z48" t="str">
            <v>UCC</v>
          </cell>
        </row>
        <row r="49">
          <cell r="Y49" t="str">
            <v>%</v>
          </cell>
          <cell r="Z49">
            <v>0</v>
          </cell>
        </row>
        <row r="50">
          <cell r="Z50">
            <v>0</v>
          </cell>
        </row>
        <row r="51">
          <cell r="Z51">
            <v>0</v>
          </cell>
        </row>
        <row r="52">
          <cell r="Z52">
            <v>0</v>
          </cell>
        </row>
        <row r="53">
          <cell r="Z53">
            <v>0</v>
          </cell>
        </row>
        <row r="54">
          <cell r="Y54">
            <v>0.23698295087111601</v>
          </cell>
          <cell r="Z54">
            <v>0</v>
          </cell>
          <cell r="AA54">
            <v>0</v>
          </cell>
          <cell r="AB54" t="str">
            <v>UCC 801</v>
          </cell>
        </row>
        <row r="55">
          <cell r="Y55">
            <v>9.9599641230363901E-3</v>
          </cell>
          <cell r="Z55">
            <v>101</v>
          </cell>
          <cell r="AA55">
            <v>0</v>
          </cell>
          <cell r="AB55">
            <v>1.38251925124657E-2</v>
          </cell>
        </row>
        <row r="56">
          <cell r="Y56">
            <v>1.02674510796912E-4</v>
          </cell>
          <cell r="Z56">
            <v>102</v>
          </cell>
          <cell r="AA56">
            <v>0</v>
          </cell>
          <cell r="AB56">
            <v>1.4252007942552701E-4</v>
          </cell>
        </row>
        <row r="57">
          <cell r="Y57">
            <v>1.89629315040784E-5</v>
          </cell>
          <cell r="Z57">
            <v>108</v>
          </cell>
          <cell r="AA57">
            <v>0</v>
          </cell>
          <cell r="AB57">
            <v>2.6322000301007201E-5</v>
          </cell>
        </row>
        <row r="58">
          <cell r="Y58">
            <v>5.2980187022685303E-2</v>
          </cell>
          <cell r="Z58">
            <v>120</v>
          </cell>
          <cell r="AA58">
            <v>0</v>
          </cell>
          <cell r="AB58">
            <v>7.3540554552897694E-2</v>
          </cell>
        </row>
        <row r="59">
          <cell r="Y59">
            <v>1.6941294285856799E-3</v>
          </cell>
          <cell r="Z59">
            <v>121</v>
          </cell>
          <cell r="AA59">
            <v>0</v>
          </cell>
          <cell r="AB59">
            <v>2.3515813111272799E-3</v>
          </cell>
        </row>
        <row r="60">
          <cell r="Y60">
            <v>0.14748024465541501</v>
          </cell>
          <cell r="Z60">
            <v>130</v>
          </cell>
          <cell r="AA60">
            <v>0</v>
          </cell>
          <cell r="AB60">
            <v>0.204713867335203</v>
          </cell>
        </row>
        <row r="61">
          <cell r="Y61">
            <v>2.4741134505622799E-2</v>
          </cell>
          <cell r="Z61">
            <v>141</v>
          </cell>
          <cell r="AA61">
            <v>0</v>
          </cell>
          <cell r="AB61">
            <v>3.4342588315746402E-2</v>
          </cell>
        </row>
        <row r="62">
          <cell r="Y62">
            <v>5.6536934698964502E-6</v>
          </cell>
          <cell r="Z62">
            <v>142</v>
          </cell>
          <cell r="AA62">
            <v>0</v>
          </cell>
          <cell r="AB62">
            <v>7.8477592551768907E-6</v>
          </cell>
        </row>
        <row r="63">
          <cell r="Y63">
            <v>1.6283764154209699E-3</v>
          </cell>
          <cell r="Z63">
            <v>0</v>
          </cell>
          <cell r="AA63">
            <v>0</v>
          </cell>
          <cell r="AB63">
            <v>0</v>
          </cell>
        </row>
        <row r="64">
          <cell r="Y64">
            <v>1.6283764154209699E-3</v>
          </cell>
          <cell r="Z64">
            <v>134</v>
          </cell>
          <cell r="AA64">
            <v>0</v>
          </cell>
          <cell r="AB64">
            <v>2.2603110962904301E-3</v>
          </cell>
        </row>
        <row r="65">
          <cell r="Y65">
            <v>6.19191471346602E-2</v>
          </cell>
          <cell r="Z65">
            <v>0</v>
          </cell>
          <cell r="AA65" t="str">
            <v>UCC 200</v>
          </cell>
          <cell r="AB65">
            <v>0</v>
          </cell>
        </row>
        <row r="66">
          <cell r="Y66">
            <v>3.0276146362615799E-2</v>
          </cell>
          <cell r="Z66">
            <v>201</v>
          </cell>
          <cell r="AA66">
            <v>0.49351464441813597</v>
          </cell>
          <cell r="AB66">
            <v>4.2025608408632002E-2</v>
          </cell>
        </row>
        <row r="67">
          <cell r="Y67">
            <v>3.1071873812777401E-2</v>
          </cell>
          <cell r="Z67">
            <v>202</v>
          </cell>
          <cell r="AA67">
            <v>0.50648535558186403</v>
          </cell>
          <cell r="AB67">
            <v>4.31301390123612E-2</v>
          </cell>
        </row>
        <row r="68">
          <cell r="Y68">
            <v>4.49200941618554E-5</v>
          </cell>
          <cell r="Z68">
            <v>203</v>
          </cell>
          <cell r="AA68">
            <v>0</v>
          </cell>
          <cell r="AB68">
            <v>6.2352528763568604E-5</v>
          </cell>
        </row>
        <row r="69">
          <cell r="Y69">
            <v>5.2620686510519005E-4</v>
          </cell>
          <cell r="Z69">
            <v>204</v>
          </cell>
          <cell r="AA69">
            <v>0</v>
          </cell>
          <cell r="AB69">
            <v>7.3041540326778699E-4</v>
          </cell>
        </row>
        <row r="70">
          <cell r="Y70">
            <v>0.41989089505020999</v>
          </cell>
          <cell r="Z70">
            <v>0</v>
          </cell>
          <cell r="AA70" t="str">
            <v>UCC 300</v>
          </cell>
          <cell r="AB70">
            <v>0</v>
          </cell>
        </row>
        <row r="71">
          <cell r="Y71">
            <v>0.351169366553163</v>
          </cell>
          <cell r="Z71">
            <v>301</v>
          </cell>
          <cell r="AA71">
            <v>0.549550775957237</v>
          </cell>
          <cell r="AB71">
            <v>0.48744995836370802</v>
          </cell>
        </row>
        <row r="72">
          <cell r="Y72">
            <v>4.5561815219517099E-4</v>
          </cell>
          <cell r="Z72">
            <v>302</v>
          </cell>
          <cell r="AA72">
            <v>4.49224042762632E-4</v>
          </cell>
          <cell r="AB72">
            <v>6.3243286707259996E-4</v>
          </cell>
        </row>
        <row r="73">
          <cell r="Y73">
            <v>6.14270106355582E-2</v>
          </cell>
          <cell r="Z73">
            <v>303</v>
          </cell>
          <cell r="AA73">
            <v>0</v>
          </cell>
          <cell r="AB73">
            <v>8.5265392225426104E-2</v>
          </cell>
        </row>
        <row r="74">
          <cell r="Y74">
            <v>6.8388997092938301E-3</v>
          </cell>
          <cell r="Z74">
            <v>307</v>
          </cell>
          <cell r="AA74">
            <v>0</v>
          </cell>
          <cell r="AB74">
            <v>9.4929162280565308E-3</v>
          </cell>
        </row>
        <row r="75">
          <cell r="Y75">
            <v>0.720421369471407</v>
          </cell>
          <cell r="Z75">
            <v>0</v>
          </cell>
        </row>
        <row r="76">
          <cell r="Z76">
            <v>0</v>
          </cell>
        </row>
        <row r="77">
          <cell r="Z77">
            <v>0</v>
          </cell>
        </row>
        <row r="78">
          <cell r="Y78">
            <v>5.41106961502303E-2</v>
          </cell>
          <cell r="Z78">
            <v>0</v>
          </cell>
          <cell r="AA78" t="str">
            <v>UCC 500</v>
          </cell>
          <cell r="AB78" t="str">
            <v>UCC 510</v>
          </cell>
          <cell r="AC78" t="str">
            <v>UCC 802</v>
          </cell>
        </row>
        <row r="79">
          <cell r="Y79">
            <v>2.74213668635234E-3</v>
          </cell>
          <cell r="Z79">
            <v>501</v>
          </cell>
          <cell r="AA79">
            <v>5.0676425946160501E-2</v>
          </cell>
          <cell r="AB79">
            <v>0</v>
          </cell>
          <cell r="AC79">
            <v>9.8081054377004602E-3</v>
          </cell>
        </row>
        <row r="80">
          <cell r="Y80">
            <v>0</v>
          </cell>
          <cell r="Z80">
            <v>510</v>
          </cell>
          <cell r="AA80">
            <v>0</v>
          </cell>
          <cell r="AB80">
            <v>0</v>
          </cell>
          <cell r="AC80">
            <v>0</v>
          </cell>
        </row>
        <row r="81">
          <cell r="Y81">
            <v>4.9220238023240399E-3</v>
          </cell>
          <cell r="Z81">
            <v>511</v>
          </cell>
          <cell r="AA81">
            <v>9.0962123064518896E-2</v>
          </cell>
          <cell r="AB81">
            <v>0.62728885522715205</v>
          </cell>
          <cell r="AC81">
            <v>1.7605150268524002E-2</v>
          </cell>
        </row>
        <row r="82">
          <cell r="Y82">
            <v>2.9150460350218601E-3</v>
          </cell>
          <cell r="Z82">
            <v>512</v>
          </cell>
          <cell r="AA82">
            <v>5.38719004266488E-2</v>
          </cell>
          <cell r="AB82">
            <v>0.37150894909933302</v>
          </cell>
          <cell r="AC82">
            <v>1.04265695468586E-2</v>
          </cell>
        </row>
        <row r="83">
          <cell r="Y83">
            <v>9.4330318015112206E-6</v>
          </cell>
          <cell r="Z83">
            <v>513</v>
          </cell>
          <cell r="AA83">
            <v>1.7432841328305599E-4</v>
          </cell>
          <cell r="AB83">
            <v>1.20219567351489E-3</v>
          </cell>
          <cell r="AC83">
            <v>3.3740174575132601E-5</v>
          </cell>
        </row>
        <row r="84">
          <cell r="Y84">
            <v>2.19891710468345E-2</v>
          </cell>
          <cell r="Z84">
            <v>520</v>
          </cell>
          <cell r="AA84">
            <v>0.40637383384949999</v>
          </cell>
          <cell r="AB84">
            <v>0</v>
          </cell>
          <cell r="AC84">
            <v>7.8651115091522103E-2</v>
          </cell>
        </row>
        <row r="85">
          <cell r="Y85">
            <v>6.8122666972948395E-4</v>
          </cell>
          <cell r="Z85">
            <v>521</v>
          </cell>
          <cell r="AA85">
            <v>1.25895011189315E-2</v>
          </cell>
          <cell r="AB85">
            <v>0</v>
          </cell>
          <cell r="AC85">
            <v>2.4366192381781999E-3</v>
          </cell>
        </row>
        <row r="86">
          <cell r="Y86">
            <v>3.65175496455387E-3</v>
          </cell>
          <cell r="Z86">
            <v>522</v>
          </cell>
          <cell r="AA86">
            <v>6.7486748912180206E-2</v>
          </cell>
          <cell r="AB86">
            <v>0</v>
          </cell>
          <cell r="AC86">
            <v>1.3061638357873001E-2</v>
          </cell>
        </row>
        <row r="87">
          <cell r="Y87">
            <v>0</v>
          </cell>
          <cell r="Z87">
            <v>523</v>
          </cell>
          <cell r="AA87">
            <v>0</v>
          </cell>
          <cell r="AB87">
            <v>0</v>
          </cell>
          <cell r="AC87">
            <v>0</v>
          </cell>
        </row>
        <row r="88">
          <cell r="Y88">
            <v>1.19496714626757E-3</v>
          </cell>
          <cell r="Z88">
            <v>524</v>
          </cell>
          <cell r="AA88">
            <v>2.2083751111793601E-2</v>
          </cell>
          <cell r="AB88">
            <v>0</v>
          </cell>
          <cell r="AC88">
            <v>4.2741719708987696E-3</v>
          </cell>
        </row>
        <row r="89">
          <cell r="Y89">
            <v>1.2902366177907101E-2</v>
          </cell>
          <cell r="Z89">
            <v>525</v>
          </cell>
          <cell r="AA89">
            <v>0.238443913973785</v>
          </cell>
          <cell r="AB89">
            <v>0</v>
          </cell>
          <cell r="AC89">
            <v>4.6149328915135499E-2</v>
          </cell>
        </row>
        <row r="90">
          <cell r="Y90">
            <v>2.0893346085865999E-3</v>
          </cell>
          <cell r="Z90">
            <v>526</v>
          </cell>
          <cell r="AA90">
            <v>3.8612229323124497E-2</v>
          </cell>
          <cell r="AB90">
            <v>0</v>
          </cell>
          <cell r="AC90">
            <v>7.4731556007565604E-3</v>
          </cell>
        </row>
        <row r="91">
          <cell r="Y91">
            <v>0</v>
          </cell>
          <cell r="Z91">
            <v>527</v>
          </cell>
          <cell r="AA91">
            <v>0</v>
          </cell>
          <cell r="AB91">
            <v>0</v>
          </cell>
          <cell r="AC91">
            <v>0</v>
          </cell>
        </row>
        <row r="92">
          <cell r="Y92">
            <v>1.01323598085141E-3</v>
          </cell>
          <cell r="Z92">
            <v>540</v>
          </cell>
          <cell r="AA92">
            <v>1.8725243860073699E-2</v>
          </cell>
          <cell r="AB92">
            <v>0</v>
          </cell>
          <cell r="AC92">
            <v>3.6241538880697399E-3</v>
          </cell>
        </row>
        <row r="93">
          <cell r="Y93">
            <v>0.22546793437836199</v>
          </cell>
          <cell r="Z93">
            <v>0</v>
          </cell>
          <cell r="AA93" t="str">
            <v>UCC 300</v>
          </cell>
          <cell r="AB93">
            <v>0</v>
          </cell>
          <cell r="AC93">
            <v>0</v>
          </cell>
        </row>
        <row r="94">
          <cell r="Y94">
            <v>0.206656660879358</v>
          </cell>
          <cell r="Z94">
            <v>601</v>
          </cell>
          <cell r="AA94">
            <v>0.45</v>
          </cell>
          <cell r="AB94">
            <v>0</v>
          </cell>
          <cell r="AC94">
            <v>0.73917187622186098</v>
          </cell>
        </row>
        <row r="95">
          <cell r="Y95">
            <v>2.3298697156248901E-3</v>
          </cell>
          <cell r="Z95">
            <v>602</v>
          </cell>
          <cell r="AA95">
            <v>0</v>
          </cell>
          <cell r="AB95">
            <v>0</v>
          </cell>
          <cell r="AC95">
            <v>8.3335042854307591E-3</v>
          </cell>
        </row>
        <row r="96">
          <cell r="Y96">
            <v>1.39519477286703E-2</v>
          </cell>
          <cell r="Z96">
            <v>603</v>
          </cell>
          <cell r="AA96">
            <v>0</v>
          </cell>
          <cell r="AB96">
            <v>0</v>
          </cell>
          <cell r="AC96">
            <v>4.9903484047731698E-2</v>
          </cell>
        </row>
        <row r="97">
          <cell r="Y97">
            <v>2.5294560547088202E-3</v>
          </cell>
          <cell r="Z97">
            <v>604</v>
          </cell>
          <cell r="AA97">
            <v>0</v>
          </cell>
          <cell r="AB97">
            <v>0</v>
          </cell>
          <cell r="AC97">
            <v>9.0473869548843497E-3</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customProperty" Target="../customProperty41.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ustomProperty" Target="../customProperty44.bin"/><Relationship Id="rId2" Type="http://schemas.openxmlformats.org/officeDocument/2006/relationships/customProperty" Target="../customProperty43.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ustomProperty" Target="../customProperty46.bin"/><Relationship Id="rId2" Type="http://schemas.openxmlformats.org/officeDocument/2006/relationships/customProperty" Target="../customProperty45.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ustomProperty" Target="../customProperty48.bin"/><Relationship Id="rId2" Type="http://schemas.openxmlformats.org/officeDocument/2006/relationships/customProperty" Target="../customProperty47.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ustomProperty" Target="../customProperty50.bin"/><Relationship Id="rId2" Type="http://schemas.openxmlformats.org/officeDocument/2006/relationships/customProperty" Target="../customProperty49.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ustomProperty" Target="../customProperty52.bin"/><Relationship Id="rId2" Type="http://schemas.openxmlformats.org/officeDocument/2006/relationships/customProperty" Target="../customProperty51.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ustomProperty" Target="../customProperty54.bin"/><Relationship Id="rId2" Type="http://schemas.openxmlformats.org/officeDocument/2006/relationships/customProperty" Target="../customProperty53.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ustomProperty" Target="../customProperty56.bin"/><Relationship Id="rId2" Type="http://schemas.openxmlformats.org/officeDocument/2006/relationships/customProperty" Target="../customProperty55.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ustomProperty" Target="../customProperty58.bin"/><Relationship Id="rId2" Type="http://schemas.openxmlformats.org/officeDocument/2006/relationships/customProperty" Target="../customProperty57.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ustomProperty" Target="../customProperty60.bin"/><Relationship Id="rId2" Type="http://schemas.openxmlformats.org/officeDocument/2006/relationships/customProperty" Target="../customProperty59.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ustomProperty" Target="../customProperty62.bin"/><Relationship Id="rId2" Type="http://schemas.openxmlformats.org/officeDocument/2006/relationships/customProperty" Target="../customProperty61.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ustomProperty" Target="../customProperty64.bin"/><Relationship Id="rId2" Type="http://schemas.openxmlformats.org/officeDocument/2006/relationships/customProperty" Target="../customProperty63.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ustomProperty" Target="../customProperty66.bin"/><Relationship Id="rId2" Type="http://schemas.openxmlformats.org/officeDocument/2006/relationships/customProperty" Target="../customProperty65.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ustomProperty" Target="../customProperty68.bin"/><Relationship Id="rId2" Type="http://schemas.openxmlformats.org/officeDocument/2006/relationships/customProperty" Target="../customProperty67.bin"/><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ustomProperty" Target="../customProperty70.bin"/><Relationship Id="rId2" Type="http://schemas.openxmlformats.org/officeDocument/2006/relationships/customProperty" Target="../customProperty69.bin"/><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ustomProperty" Target="../customProperty72.bin"/><Relationship Id="rId2" Type="http://schemas.openxmlformats.org/officeDocument/2006/relationships/customProperty" Target="../customProperty71.bin"/><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ustomProperty" Target="../customProperty74.bin"/><Relationship Id="rId2" Type="http://schemas.openxmlformats.org/officeDocument/2006/relationships/customProperty" Target="../customProperty73.bin"/><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ustomProperty" Target="../customProperty76.bin"/><Relationship Id="rId2" Type="http://schemas.openxmlformats.org/officeDocument/2006/relationships/customProperty" Target="../customProperty75.bin"/><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F17"/>
  <sheetViews>
    <sheetView view="pageBreakPreview" zoomScale="130" zoomScaleSheetLayoutView="130" workbookViewId="0">
      <selection activeCell="E174" sqref="E174"/>
    </sheetView>
  </sheetViews>
  <sheetFormatPr defaultRowHeight="14.5"/>
  <cols>
    <col min="1" max="6" width="9.1796875" customWidth="1"/>
  </cols>
  <sheetData>
    <row r="5" spans="1:6" ht="20">
      <c r="A5" s="829"/>
      <c r="B5" s="829"/>
      <c r="C5" s="829"/>
      <c r="D5" s="829"/>
      <c r="E5" s="829"/>
      <c r="F5" s="829"/>
    </row>
    <row r="6" spans="1:6" ht="20">
      <c r="A6" s="829"/>
      <c r="B6" s="829"/>
      <c r="C6" s="829"/>
      <c r="D6" s="829"/>
      <c r="E6" s="829"/>
      <c r="F6" s="829"/>
    </row>
    <row r="7" spans="1:6" ht="20">
      <c r="A7" s="829"/>
      <c r="B7" s="829"/>
      <c r="C7" s="829"/>
      <c r="D7" s="829"/>
      <c r="E7" s="829"/>
      <c r="F7" s="829"/>
    </row>
    <row r="8" spans="1:6" ht="20">
      <c r="A8" s="10"/>
      <c r="B8" s="10"/>
      <c r="C8" s="10"/>
      <c r="D8" s="10"/>
      <c r="E8" s="10"/>
      <c r="F8" s="10"/>
    </row>
    <row r="9" spans="1:6">
      <c r="A9" s="68"/>
      <c r="B9" s="68"/>
      <c r="C9" s="68"/>
      <c r="D9" s="68"/>
      <c r="E9" s="68"/>
      <c r="F9" s="68"/>
    </row>
    <row r="10" spans="1:6" ht="17.5">
      <c r="A10" s="830" t="s">
        <v>0</v>
      </c>
      <c r="B10" s="830"/>
      <c r="C10" s="830"/>
      <c r="D10" s="830"/>
      <c r="E10" s="830"/>
      <c r="F10" s="830"/>
    </row>
    <row r="11" spans="1:6" ht="17.5">
      <c r="A11" s="830" t="s">
        <v>1</v>
      </c>
      <c r="B11" s="830"/>
      <c r="C11" s="830"/>
      <c r="D11" s="830"/>
      <c r="E11" s="830"/>
      <c r="F11" s="830"/>
    </row>
    <row r="12" spans="1:6" ht="17.5">
      <c r="A12" s="9"/>
      <c r="B12" s="9"/>
      <c r="C12" s="9"/>
      <c r="D12" s="9"/>
      <c r="E12" s="9"/>
      <c r="F12" s="9"/>
    </row>
    <row r="13" spans="1:6" ht="17.5">
      <c r="A13" s="830" t="s">
        <v>2</v>
      </c>
      <c r="B13" s="830"/>
      <c r="C13" s="830"/>
      <c r="D13" s="830"/>
      <c r="E13" s="830"/>
      <c r="F13" s="830"/>
    </row>
    <row r="14" spans="1:6" ht="17.5">
      <c r="A14" s="830" t="s">
        <v>3</v>
      </c>
      <c r="B14" s="830"/>
      <c r="C14" s="830"/>
      <c r="D14" s="830"/>
      <c r="E14" s="830"/>
      <c r="F14" s="830"/>
    </row>
    <row r="15" spans="1:6" ht="20">
      <c r="A15" s="829"/>
      <c r="B15" s="829"/>
      <c r="C15" s="829"/>
      <c r="D15" s="829"/>
      <c r="E15" s="829"/>
      <c r="F15" s="829"/>
    </row>
    <row r="16" spans="1:6">
      <c r="A16" s="68"/>
      <c r="B16" s="68"/>
      <c r="C16" s="68"/>
      <c r="D16" s="68"/>
      <c r="E16" s="68"/>
      <c r="F16" s="68"/>
    </row>
    <row r="17" spans="1:6">
      <c r="A17" s="68"/>
      <c r="B17" s="68"/>
      <c r="C17" s="68"/>
      <c r="D17" s="68"/>
      <c r="E17" s="68"/>
      <c r="F17" s="68"/>
    </row>
  </sheetData>
  <mergeCells count="8">
    <mergeCell ref="A5:F5"/>
    <mergeCell ref="A6:F6"/>
    <mergeCell ref="A7:F7"/>
    <mergeCell ref="A10:F10"/>
    <mergeCell ref="A15:F15"/>
    <mergeCell ref="A11:F11"/>
    <mergeCell ref="A13:F13"/>
    <mergeCell ref="A14:F14"/>
  </mergeCells>
  <printOptions horizontalCentered="1"/>
  <pageMargins left="1" right="1" top="1" bottom="1" header="0.5" footer="0.5"/>
  <pageSetup orientation="portrait" r:id="rId1"/>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V160"/>
  <sheetViews>
    <sheetView tabSelected="1" view="pageBreakPreview" zoomScaleNormal="85" zoomScaleSheetLayoutView="100" zoomScalePageLayoutView="90" workbookViewId="0">
      <selection activeCell="E174" sqref="E174"/>
    </sheetView>
  </sheetViews>
  <sheetFormatPr defaultColWidth="8.81640625" defaultRowHeight="14.5"/>
  <cols>
    <col min="1" max="1" width="4.54296875" style="70" bestFit="1" customWidth="1"/>
    <col min="2" max="2" width="63.453125" style="70" bestFit="1" customWidth="1"/>
    <col min="3" max="3" width="4.54296875" style="70" customWidth="1"/>
    <col min="4" max="4" width="16.54296875" style="70" bestFit="1" customWidth="1"/>
    <col min="5" max="5" width="29.7265625" style="70" customWidth="1"/>
    <col min="6" max="6" width="29.1796875" style="70" customWidth="1"/>
    <col min="7" max="7" width="4.54296875" style="70" bestFit="1" customWidth="1"/>
    <col min="8" max="8" width="8.81640625" style="70"/>
    <col min="9" max="9" width="12.1796875" style="70" bestFit="1" customWidth="1"/>
    <col min="10" max="10" width="13.453125" style="70" customWidth="1"/>
    <col min="11" max="11" width="25.1796875" style="70" customWidth="1"/>
    <col min="12" max="22" width="14.54296875" style="70" customWidth="1"/>
    <col min="23" max="16384" width="8.81640625" style="70"/>
  </cols>
  <sheetData>
    <row r="1" spans="1:22">
      <c r="B1" s="14" t="s">
        <v>16</v>
      </c>
      <c r="E1" s="15"/>
      <c r="F1" s="15" t="str">
        <f>CONCATENATE("Prior Year: ",'1-BaseTRR'!$G$2)</f>
        <v>Prior Year: 2021</v>
      </c>
    </row>
    <row r="2" spans="1:22">
      <c r="B2" s="71"/>
    </row>
    <row r="3" spans="1:22">
      <c r="B3" s="53" t="s">
        <v>477</v>
      </c>
      <c r="C3" s="54"/>
      <c r="D3" s="55"/>
      <c r="E3" s="55"/>
      <c r="F3" s="55"/>
    </row>
    <row r="4" spans="1:22">
      <c r="A4" s="13" t="s">
        <v>100</v>
      </c>
      <c r="B4" s="13" t="s">
        <v>6</v>
      </c>
      <c r="C4"/>
      <c r="D4" s="13" t="s">
        <v>134</v>
      </c>
      <c r="E4" s="13" t="s">
        <v>135</v>
      </c>
      <c r="F4" s="13" t="s">
        <v>136</v>
      </c>
      <c r="G4" s="13" t="str">
        <f>A4</f>
        <v>Line</v>
      </c>
    </row>
    <row r="5" spans="1:22">
      <c r="B5" s="72" t="s">
        <v>478</v>
      </c>
      <c r="I5" s="73"/>
      <c r="J5" s="74"/>
      <c r="K5" s="75"/>
      <c r="L5" s="76"/>
      <c r="M5" s="76"/>
      <c r="N5" s="76"/>
      <c r="O5" s="76"/>
      <c r="P5" s="76"/>
      <c r="Q5" s="76"/>
      <c r="R5" s="76"/>
      <c r="S5" s="76"/>
      <c r="T5" s="76"/>
      <c r="U5" s="76"/>
      <c r="V5" s="76"/>
    </row>
    <row r="6" spans="1:22">
      <c r="A6" s="77">
        <v>100</v>
      </c>
      <c r="B6" s="70" t="s">
        <v>479</v>
      </c>
      <c r="D6" s="22">
        <f>'5-CostofCap-2 Corrected V1'!P13</f>
        <v>36443675751.440002</v>
      </c>
      <c r="E6" s="79" t="s">
        <v>480</v>
      </c>
      <c r="F6" s="70" t="s">
        <v>481</v>
      </c>
      <c r="G6" s="77">
        <f>A6</f>
        <v>100</v>
      </c>
      <c r="I6" s="80"/>
      <c r="J6" s="81"/>
      <c r="K6" s="80"/>
      <c r="L6" s="82"/>
      <c r="M6" s="82"/>
      <c r="N6" s="82"/>
      <c r="O6" s="82"/>
      <c r="P6" s="82"/>
      <c r="Q6" s="82"/>
      <c r="R6" s="82"/>
      <c r="S6" s="82"/>
      <c r="T6" s="82"/>
      <c r="U6" s="82"/>
      <c r="V6" s="82"/>
    </row>
    <row r="7" spans="1:22">
      <c r="A7" s="77">
        <f>A6+1</f>
        <v>101</v>
      </c>
      <c r="B7" s="70" t="s">
        <v>482</v>
      </c>
      <c r="D7" s="459">
        <f>-'5-CostofCap-2 Corrected V1'!P15</f>
        <v>0</v>
      </c>
      <c r="E7" s="79" t="s">
        <v>483</v>
      </c>
      <c r="F7" s="70" t="s">
        <v>484</v>
      </c>
      <c r="G7" s="77">
        <f t="shared" ref="G7:G30" si="0">A7</f>
        <v>101</v>
      </c>
      <c r="I7" s="80"/>
      <c r="J7" s="83"/>
      <c r="K7" s="84"/>
      <c r="L7" s="82"/>
      <c r="M7" s="82"/>
      <c r="N7" s="82"/>
      <c r="O7" s="82"/>
      <c r="P7" s="82"/>
      <c r="Q7" s="82"/>
      <c r="R7" s="82"/>
      <c r="S7" s="82"/>
      <c r="T7" s="82"/>
      <c r="U7" s="82"/>
      <c r="V7" s="82"/>
    </row>
    <row r="8" spans="1:22">
      <c r="A8" s="77">
        <f t="shared" ref="A8:A16" si="1">A7+1</f>
        <v>102</v>
      </c>
      <c r="B8" s="70" t="s">
        <v>485</v>
      </c>
      <c r="D8" s="460">
        <f>'5-CostofCap-2 Corrected V1'!P17</f>
        <v>806847382.58000004</v>
      </c>
      <c r="E8" s="79" t="s">
        <v>486</v>
      </c>
      <c r="F8" s="70" t="s">
        <v>481</v>
      </c>
      <c r="G8" s="77">
        <f t="shared" si="0"/>
        <v>102</v>
      </c>
      <c r="H8" s="71"/>
      <c r="I8" s="80"/>
      <c r="J8" s="83"/>
      <c r="K8" s="84"/>
      <c r="L8" s="82"/>
      <c r="M8" s="82"/>
      <c r="N8" s="82"/>
      <c r="O8" s="82"/>
      <c r="P8" s="82"/>
      <c r="Q8" s="82"/>
      <c r="R8" s="82"/>
      <c r="S8" s="82"/>
      <c r="T8" s="82"/>
      <c r="U8" s="82"/>
      <c r="V8" s="82"/>
    </row>
    <row r="9" spans="1:22">
      <c r="A9" s="77">
        <f t="shared" si="1"/>
        <v>103</v>
      </c>
      <c r="B9" s="70" t="s">
        <v>487</v>
      </c>
      <c r="D9" s="460">
        <f>'5-CostofCap-2 Corrected V1'!P19</f>
        <v>0</v>
      </c>
      <c r="E9" s="79" t="s">
        <v>488</v>
      </c>
      <c r="F9" s="70" t="s">
        <v>481</v>
      </c>
      <c r="G9" s="77">
        <f t="shared" si="0"/>
        <v>103</v>
      </c>
      <c r="I9" s="80"/>
      <c r="J9" s="83"/>
      <c r="K9" s="84"/>
      <c r="L9" s="82"/>
      <c r="M9" s="82"/>
      <c r="N9" s="82"/>
      <c r="O9" s="82"/>
      <c r="P9" s="82"/>
      <c r="Q9" s="82"/>
      <c r="R9" s="82"/>
      <c r="S9" s="82"/>
      <c r="T9" s="82"/>
      <c r="U9" s="82"/>
      <c r="V9" s="82"/>
    </row>
    <row r="10" spans="1:22">
      <c r="A10" s="77">
        <f t="shared" si="1"/>
        <v>104</v>
      </c>
      <c r="B10" s="70" t="s">
        <v>489</v>
      </c>
      <c r="D10" s="460">
        <f>'5-CostofCap-2 Corrected V1'!P21</f>
        <v>5486057.9100000001</v>
      </c>
      <c r="E10" s="79" t="s">
        <v>490</v>
      </c>
      <c r="F10" s="70" t="s">
        <v>481</v>
      </c>
      <c r="G10" s="77">
        <f t="shared" si="0"/>
        <v>104</v>
      </c>
      <c r="I10" s="85"/>
      <c r="J10" s="86"/>
      <c r="K10" s="82"/>
      <c r="L10" s="82"/>
      <c r="M10" s="82"/>
      <c r="N10" s="82"/>
      <c r="O10" s="82"/>
      <c r="P10" s="82"/>
      <c r="Q10" s="82"/>
      <c r="R10" s="82"/>
      <c r="S10" s="82"/>
      <c r="T10" s="82"/>
      <c r="U10" s="82"/>
      <c r="V10" s="82"/>
    </row>
    <row r="11" spans="1:22">
      <c r="A11" s="77">
        <f t="shared" si="1"/>
        <v>105</v>
      </c>
      <c r="B11" s="70" t="s">
        <v>491</v>
      </c>
      <c r="D11" s="460">
        <f>-'5-CostofCap-2 Corrected V1'!P23</f>
        <v>-26193407.199999999</v>
      </c>
      <c r="E11" s="79" t="s">
        <v>492</v>
      </c>
      <c r="F11" s="70" t="s">
        <v>484</v>
      </c>
      <c r="G11" s="77">
        <f t="shared" si="0"/>
        <v>105</v>
      </c>
      <c r="I11" s="82"/>
      <c r="J11" s="82"/>
      <c r="K11" s="82"/>
      <c r="L11" s="82"/>
      <c r="M11" s="82"/>
      <c r="N11" s="82"/>
      <c r="O11" s="82"/>
      <c r="P11" s="82"/>
      <c r="Q11" s="82"/>
      <c r="R11" s="82"/>
      <c r="S11" s="82"/>
      <c r="T11" s="82"/>
      <c r="U11" s="82"/>
      <c r="V11" s="82"/>
    </row>
    <row r="12" spans="1:22">
      <c r="A12" s="77">
        <f t="shared" si="1"/>
        <v>106</v>
      </c>
      <c r="B12" s="70" t="s">
        <v>493</v>
      </c>
      <c r="D12" s="809">
        <f>-'5-CostofCap-2 Corrected V1'!P25</f>
        <v>-150494396.34999999</v>
      </c>
      <c r="E12" s="79" t="s">
        <v>494</v>
      </c>
      <c r="F12" s="70" t="s">
        <v>484</v>
      </c>
      <c r="G12" s="77">
        <f t="shared" si="0"/>
        <v>106</v>
      </c>
      <c r="I12" s="82"/>
      <c r="J12" s="82"/>
      <c r="K12" s="82"/>
      <c r="L12" s="82"/>
      <c r="M12" s="82"/>
      <c r="N12" s="82"/>
      <c r="O12" s="82"/>
      <c r="P12" s="82"/>
      <c r="Q12" s="82"/>
      <c r="R12" s="82"/>
      <c r="S12" s="82"/>
      <c r="T12" s="82"/>
      <c r="U12" s="82"/>
      <c r="V12" s="82"/>
    </row>
    <row r="13" spans="1:22">
      <c r="A13" s="77">
        <f t="shared" si="1"/>
        <v>107</v>
      </c>
      <c r="B13" s="70" t="s">
        <v>495</v>
      </c>
      <c r="D13" s="460">
        <f>-'5-CostofCap-2 Corrected V1'!P27</f>
        <v>-49489664.189999998</v>
      </c>
      <c r="E13" s="79" t="s">
        <v>496</v>
      </c>
      <c r="F13" s="70" t="s">
        <v>484</v>
      </c>
      <c r="G13" s="77">
        <f t="shared" si="0"/>
        <v>107</v>
      </c>
      <c r="I13" s="82"/>
      <c r="J13" s="82"/>
      <c r="K13" s="82"/>
      <c r="L13" s="82"/>
      <c r="M13" s="82"/>
      <c r="N13" s="82"/>
      <c r="O13" s="82"/>
      <c r="P13" s="82"/>
      <c r="Q13" s="82"/>
      <c r="R13" s="82"/>
      <c r="S13" s="82"/>
      <c r="T13" s="82"/>
      <c r="U13" s="82"/>
      <c r="V13" s="82"/>
    </row>
    <row r="14" spans="1:22">
      <c r="A14" s="77">
        <f t="shared" si="1"/>
        <v>108</v>
      </c>
      <c r="B14" s="70" t="s">
        <v>243</v>
      </c>
      <c r="D14" s="410">
        <f>'1-BaseTRR'!E99</f>
        <v>0.27983599999999997</v>
      </c>
      <c r="E14" s="79" t="s">
        <v>497</v>
      </c>
      <c r="G14" s="77">
        <f t="shared" si="0"/>
        <v>108</v>
      </c>
      <c r="I14" s="82"/>
      <c r="J14" s="82"/>
      <c r="K14" s="82"/>
      <c r="L14" s="82"/>
      <c r="M14" s="82"/>
      <c r="N14" s="82"/>
      <c r="O14" s="82"/>
      <c r="P14" s="82"/>
      <c r="Q14" s="82"/>
      <c r="R14" s="82"/>
      <c r="S14" s="82"/>
      <c r="T14" s="82"/>
      <c r="U14" s="82"/>
      <c r="V14" s="82"/>
    </row>
    <row r="15" spans="1:22">
      <c r="A15" s="77">
        <f t="shared" si="1"/>
        <v>109</v>
      </c>
      <c r="B15" s="70" t="s">
        <v>498</v>
      </c>
      <c r="D15" s="461">
        <f>+D13*(1-D14)</f>
        <v>-35640674.52172716</v>
      </c>
      <c r="E15" s="79" t="s">
        <v>499</v>
      </c>
      <c r="G15" s="77">
        <f t="shared" si="0"/>
        <v>109</v>
      </c>
      <c r="I15" s="82"/>
      <c r="J15" s="82"/>
      <c r="K15" s="82"/>
      <c r="L15" s="82"/>
      <c r="M15" s="82"/>
      <c r="N15" s="82"/>
      <c r="O15" s="82"/>
      <c r="P15" s="82"/>
      <c r="Q15" s="82"/>
      <c r="R15" s="82"/>
      <c r="S15" s="82"/>
      <c r="T15" s="82"/>
      <c r="U15" s="82"/>
      <c r="V15" s="82"/>
    </row>
    <row r="16" spans="1:22">
      <c r="A16" s="77">
        <f t="shared" si="1"/>
        <v>110</v>
      </c>
      <c r="B16" s="538" t="s">
        <v>176</v>
      </c>
      <c r="D16" s="69">
        <f>+SUM(D6:D12,D15:D15)</f>
        <v>37043680713.858284</v>
      </c>
      <c r="E16" s="79" t="s">
        <v>500</v>
      </c>
      <c r="G16" s="77">
        <f t="shared" si="0"/>
        <v>110</v>
      </c>
    </row>
    <row r="17" spans="1:22">
      <c r="D17" s="88"/>
      <c r="E17" s="79"/>
      <c r="G17" s="77"/>
    </row>
    <row r="18" spans="1:22">
      <c r="B18" s="72" t="s">
        <v>501</v>
      </c>
      <c r="D18" s="88"/>
      <c r="E18" s="79"/>
      <c r="G18" s="77"/>
    </row>
    <row r="19" spans="1:22">
      <c r="A19" s="77">
        <f>A16+1</f>
        <v>111</v>
      </c>
      <c r="B19" s="70" t="s">
        <v>502</v>
      </c>
      <c r="D19" s="22">
        <f>'5-CostofCap-2 Corrected V1'!P29</f>
        <v>257994575</v>
      </c>
      <c r="E19" s="79" t="s">
        <v>503</v>
      </c>
      <c r="F19" s="70" t="s">
        <v>481</v>
      </c>
      <c r="G19" s="77">
        <f t="shared" si="0"/>
        <v>111</v>
      </c>
      <c r="I19" s="82"/>
      <c r="K19" s="82"/>
      <c r="L19" s="82"/>
      <c r="M19" s="82"/>
      <c r="N19" s="82"/>
      <c r="O19" s="82"/>
      <c r="P19" s="82"/>
      <c r="Q19" s="82"/>
      <c r="R19" s="82"/>
      <c r="S19" s="82"/>
      <c r="T19" s="82"/>
      <c r="U19" s="82"/>
      <c r="V19" s="82"/>
    </row>
    <row r="20" spans="1:22">
      <c r="A20" s="77">
        <f>A19+1</f>
        <v>112</v>
      </c>
      <c r="B20" s="70" t="s">
        <v>504</v>
      </c>
      <c r="D20" s="32">
        <f>'5-CostofCap-2 Corrected V1'!P31</f>
        <v>-5940274.6799999997</v>
      </c>
      <c r="E20" s="79" t="s">
        <v>505</v>
      </c>
      <c r="F20" s="70" t="s">
        <v>481</v>
      </c>
      <c r="G20" s="77">
        <f t="shared" si="0"/>
        <v>112</v>
      </c>
      <c r="I20" s="82"/>
      <c r="K20" s="82"/>
      <c r="L20" s="82"/>
      <c r="M20" s="82"/>
      <c r="N20" s="82"/>
      <c r="O20" s="82"/>
      <c r="P20" s="82"/>
      <c r="Q20" s="82"/>
      <c r="R20" s="82"/>
      <c r="S20" s="82"/>
      <c r="T20" s="82"/>
      <c r="U20" s="82"/>
      <c r="V20" s="82"/>
    </row>
    <row r="21" spans="1:22">
      <c r="A21" s="77">
        <f t="shared" ref="A21:A22" si="2">A20+1</f>
        <v>113</v>
      </c>
      <c r="B21" s="70" t="s">
        <v>506</v>
      </c>
      <c r="D21" s="26">
        <f>'5-CostofCap-2 Corrected V1'!P33</f>
        <v>0</v>
      </c>
      <c r="E21" s="79" t="s">
        <v>507</v>
      </c>
      <c r="F21" s="70" t="s">
        <v>481</v>
      </c>
      <c r="G21" s="77">
        <f t="shared" si="0"/>
        <v>113</v>
      </c>
      <c r="I21" s="82"/>
      <c r="K21" s="82"/>
      <c r="L21" s="82"/>
      <c r="M21" s="82"/>
      <c r="N21" s="82"/>
      <c r="O21" s="82"/>
      <c r="P21" s="82"/>
      <c r="Q21" s="82"/>
      <c r="R21" s="82"/>
      <c r="S21" s="82"/>
      <c r="T21" s="82"/>
      <c r="U21" s="82"/>
      <c r="V21" s="82"/>
    </row>
    <row r="22" spans="1:22">
      <c r="A22" s="77">
        <f t="shared" si="2"/>
        <v>114</v>
      </c>
      <c r="B22" s="538" t="s">
        <v>182</v>
      </c>
      <c r="D22" s="69">
        <f>SUM(D19:D21)</f>
        <v>252054300.31999999</v>
      </c>
      <c r="E22" s="79" t="s">
        <v>508</v>
      </c>
      <c r="G22" s="77">
        <f t="shared" si="0"/>
        <v>114</v>
      </c>
    </row>
    <row r="23" spans="1:22">
      <c r="A23" s="77"/>
      <c r="D23" s="78"/>
      <c r="E23" s="79"/>
      <c r="G23" s="77"/>
    </row>
    <row r="24" spans="1:22">
      <c r="B24" s="72" t="s">
        <v>509</v>
      </c>
      <c r="D24" s="78"/>
      <c r="E24" s="79"/>
      <c r="F24" s="89"/>
      <c r="G24" s="77"/>
    </row>
    <row r="25" spans="1:22">
      <c r="A25" s="77">
        <f>+A22+1</f>
        <v>115</v>
      </c>
      <c r="B25" s="70" t="s">
        <v>510</v>
      </c>
      <c r="D25" s="22">
        <f>'5-CostofCap-2 Corrected V1'!P35</f>
        <v>25611170422.52</v>
      </c>
      <c r="E25" s="79" t="s">
        <v>511</v>
      </c>
      <c r="F25" s="70" t="s">
        <v>481</v>
      </c>
      <c r="G25" s="77">
        <f t="shared" si="0"/>
        <v>115</v>
      </c>
      <c r="I25" s="82"/>
      <c r="J25" s="82"/>
      <c r="K25" s="82"/>
      <c r="L25" s="82"/>
      <c r="M25" s="82"/>
      <c r="N25" s="82"/>
      <c r="O25" s="82"/>
      <c r="P25" s="82"/>
      <c r="Q25" s="82"/>
      <c r="R25" s="82"/>
      <c r="S25" s="82"/>
      <c r="T25" s="82"/>
      <c r="U25" s="82"/>
      <c r="V25" s="82"/>
    </row>
    <row r="26" spans="1:22">
      <c r="A26" s="77">
        <f>A25+1</f>
        <v>116</v>
      </c>
      <c r="B26" s="70" t="s">
        <v>512</v>
      </c>
      <c r="D26" s="32">
        <f>-D22</f>
        <v>-252054300.31999999</v>
      </c>
      <c r="E26" s="79" t="s">
        <v>513</v>
      </c>
      <c r="F26" s="70" t="s">
        <v>514</v>
      </c>
      <c r="G26" s="77">
        <f t="shared" si="0"/>
        <v>116</v>
      </c>
      <c r="I26" s="82"/>
      <c r="J26" s="82"/>
      <c r="K26" s="82"/>
      <c r="L26" s="82"/>
      <c r="M26" s="82"/>
      <c r="N26" s="82"/>
      <c r="O26" s="82"/>
      <c r="P26" s="82"/>
      <c r="Q26" s="82"/>
      <c r="R26" s="82"/>
      <c r="S26" s="82"/>
      <c r="T26" s="82"/>
      <c r="U26" s="82"/>
      <c r="V26" s="82"/>
    </row>
    <row r="27" spans="1:22">
      <c r="A27" s="77">
        <f t="shared" ref="A27:A29" si="3">A26+1</f>
        <v>117</v>
      </c>
      <c r="B27" s="70" t="s">
        <v>515</v>
      </c>
      <c r="D27" s="32">
        <f>-D21</f>
        <v>0</v>
      </c>
      <c r="E27" s="79" t="s">
        <v>516</v>
      </c>
      <c r="F27" s="70" t="s">
        <v>517</v>
      </c>
      <c r="G27" s="77">
        <f t="shared" si="0"/>
        <v>117</v>
      </c>
      <c r="I27" s="82"/>
      <c r="J27" s="82"/>
      <c r="K27" s="82"/>
      <c r="L27" s="82"/>
      <c r="M27" s="82"/>
      <c r="N27" s="82"/>
      <c r="O27" s="82"/>
      <c r="P27" s="82"/>
      <c r="Q27" s="82"/>
      <c r="R27" s="82"/>
      <c r="S27" s="82"/>
      <c r="T27" s="82"/>
      <c r="U27" s="82"/>
      <c r="V27" s="82"/>
    </row>
    <row r="28" spans="1:22">
      <c r="A28" s="77">
        <f t="shared" si="3"/>
        <v>118</v>
      </c>
      <c r="B28" s="70" t="s">
        <v>518</v>
      </c>
      <c r="D28" s="459">
        <f>-'5-CostofCap-2 Corrected V1'!P37</f>
        <v>-344832855.04000002</v>
      </c>
      <c r="E28" s="79" t="s">
        <v>519</v>
      </c>
      <c r="F28" s="70" t="s">
        <v>520</v>
      </c>
      <c r="G28" s="77">
        <f t="shared" si="0"/>
        <v>118</v>
      </c>
      <c r="I28" s="82"/>
      <c r="J28" s="82"/>
      <c r="K28" s="82"/>
      <c r="L28" s="82"/>
      <c r="M28" s="82"/>
      <c r="N28" s="82"/>
      <c r="O28" s="82"/>
      <c r="P28" s="82"/>
      <c r="Q28" s="82"/>
      <c r="R28" s="82"/>
      <c r="S28" s="82"/>
      <c r="T28" s="82"/>
      <c r="U28" s="82"/>
      <c r="V28" s="82"/>
    </row>
    <row r="29" spans="1:22">
      <c r="A29" s="77">
        <f t="shared" si="3"/>
        <v>119</v>
      </c>
      <c r="B29" s="70" t="s">
        <v>521</v>
      </c>
      <c r="D29" s="668">
        <f>-'5-CostofCap-2 Corrected V1'!P39</f>
        <v>7526996.6799999997</v>
      </c>
      <c r="E29" s="79" t="s">
        <v>522</v>
      </c>
      <c r="F29" s="70" t="s">
        <v>520</v>
      </c>
      <c r="G29" s="77">
        <f t="shared" si="0"/>
        <v>119</v>
      </c>
      <c r="I29" s="82"/>
      <c r="J29" s="82"/>
      <c r="K29" s="82"/>
      <c r="L29" s="82"/>
      <c r="M29" s="82"/>
      <c r="N29" s="82"/>
      <c r="O29" s="82"/>
      <c r="P29" s="82"/>
      <c r="Q29" s="82"/>
      <c r="R29" s="82"/>
      <c r="S29" s="82"/>
      <c r="T29" s="82"/>
      <c r="U29" s="82"/>
      <c r="V29" s="82"/>
    </row>
    <row r="30" spans="1:22">
      <c r="A30" s="77">
        <f>A29+1</f>
        <v>120</v>
      </c>
      <c r="B30" s="92" t="s">
        <v>187</v>
      </c>
      <c r="D30" s="69">
        <f>SUM(D25:D29)</f>
        <v>25021810263.84</v>
      </c>
      <c r="E30" s="79" t="s">
        <v>523</v>
      </c>
      <c r="G30" s="77">
        <f t="shared" si="0"/>
        <v>120</v>
      </c>
    </row>
    <row r="31" spans="1:22">
      <c r="B31" s="90"/>
    </row>
    <row r="36" spans="2:2">
      <c r="B36" s="91"/>
    </row>
    <row r="38" spans="2:2">
      <c r="B38" s="79"/>
    </row>
    <row r="40" spans="2:2">
      <c r="B40" s="79"/>
    </row>
    <row r="144" spans="11:11">
      <c r="K144" s="70" t="e">
        <f>E30/E144*E151</f>
        <v>#VALUE!</v>
      </c>
    </row>
    <row r="160" spans="10:10">
      <c r="J160" s="70">
        <f>E160-D160</f>
        <v>0</v>
      </c>
    </row>
  </sheetData>
  <printOptions horizontalCentered="1"/>
  <pageMargins left="1" right="1" top="1" bottom="1" header="0.5" footer="0.5"/>
  <pageSetup scale="75"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0D392-F864-455D-AF86-E26E233C30CD}">
  <sheetPr>
    <tabColor rgb="FFC00000"/>
    <pageSetUpPr fitToPage="1"/>
  </sheetPr>
  <dimension ref="A1:V160"/>
  <sheetViews>
    <sheetView tabSelected="1" view="pageBreakPreview" zoomScaleNormal="85" zoomScaleSheetLayoutView="100" zoomScalePageLayoutView="90" workbookViewId="0">
      <selection activeCell="E174" sqref="E174"/>
    </sheetView>
  </sheetViews>
  <sheetFormatPr defaultColWidth="8.81640625" defaultRowHeight="14.5"/>
  <cols>
    <col min="1" max="1" width="4.54296875" style="70" bestFit="1" customWidth="1"/>
    <col min="2" max="2" width="63.453125" style="70" bestFit="1" customWidth="1"/>
    <col min="3" max="3" width="4.54296875" style="70" customWidth="1"/>
    <col min="4" max="4" width="16.54296875" style="70" bestFit="1" customWidth="1"/>
    <col min="5" max="5" width="29.7265625" style="70" customWidth="1"/>
    <col min="6" max="6" width="29.1796875" style="70" customWidth="1"/>
    <col min="7" max="7" width="4.54296875" style="70" bestFit="1" customWidth="1"/>
    <col min="8" max="8" width="8.81640625" style="70"/>
    <col min="9" max="9" width="12.1796875" style="70" bestFit="1" customWidth="1"/>
    <col min="10" max="10" width="13.453125" style="70" customWidth="1"/>
    <col min="11" max="11" width="25.1796875" style="70" customWidth="1"/>
    <col min="12" max="22" width="14.54296875" style="70" customWidth="1"/>
    <col min="23" max="16384" width="8.81640625" style="70"/>
  </cols>
  <sheetData>
    <row r="1" spans="1:22">
      <c r="B1" s="14" t="s">
        <v>16</v>
      </c>
      <c r="E1" s="15"/>
      <c r="F1" s="15" t="s">
        <v>2055</v>
      </c>
    </row>
    <row r="2" spans="1:22">
      <c r="B2" s="71"/>
    </row>
    <row r="3" spans="1:22">
      <c r="B3" s="53" t="s">
        <v>477</v>
      </c>
      <c r="C3" s="54"/>
      <c r="D3" s="55"/>
      <c r="E3" s="55"/>
      <c r="F3" s="55"/>
    </row>
    <row r="4" spans="1:22">
      <c r="A4" s="13" t="s">
        <v>100</v>
      </c>
      <c r="B4" s="13" t="s">
        <v>6</v>
      </c>
      <c r="C4"/>
      <c r="D4" s="13" t="s">
        <v>134</v>
      </c>
      <c r="E4" s="13" t="s">
        <v>135</v>
      </c>
      <c r="F4" s="13" t="s">
        <v>136</v>
      </c>
      <c r="G4" s="13" t="s">
        <v>100</v>
      </c>
    </row>
    <row r="5" spans="1:22">
      <c r="B5" s="72" t="s">
        <v>478</v>
      </c>
      <c r="I5" s="73"/>
      <c r="J5" s="74"/>
      <c r="K5" s="75"/>
      <c r="L5" s="76"/>
      <c r="M5" s="76"/>
      <c r="N5" s="76"/>
      <c r="O5" s="76"/>
      <c r="P5" s="76"/>
      <c r="Q5" s="76"/>
      <c r="R5" s="76"/>
      <c r="S5" s="76"/>
      <c r="T5" s="76"/>
      <c r="U5" s="76"/>
      <c r="V5" s="76"/>
    </row>
    <row r="6" spans="1:22">
      <c r="A6" s="77">
        <v>100</v>
      </c>
      <c r="B6" s="70" t="s">
        <v>479</v>
      </c>
      <c r="D6" s="22">
        <v>36443675751.440002</v>
      </c>
      <c r="E6" s="79" t="s">
        <v>480</v>
      </c>
      <c r="F6" s="70" t="s">
        <v>481</v>
      </c>
      <c r="G6" s="77">
        <v>100</v>
      </c>
      <c r="I6" s="80"/>
      <c r="J6" s="81"/>
      <c r="K6" s="80"/>
      <c r="L6" s="82"/>
      <c r="M6" s="82"/>
      <c r="N6" s="82"/>
      <c r="O6" s="82"/>
      <c r="P6" s="82"/>
      <c r="Q6" s="82"/>
      <c r="R6" s="82"/>
      <c r="S6" s="82"/>
      <c r="T6" s="82"/>
      <c r="U6" s="82"/>
      <c r="V6" s="82"/>
    </row>
    <row r="7" spans="1:22">
      <c r="A7" s="77">
        <v>101</v>
      </c>
      <c r="B7" s="70" t="s">
        <v>482</v>
      </c>
      <c r="D7" s="459">
        <v>0</v>
      </c>
      <c r="E7" s="79" t="s">
        <v>483</v>
      </c>
      <c r="F7" s="70" t="s">
        <v>484</v>
      </c>
      <c r="G7" s="77">
        <v>101</v>
      </c>
      <c r="I7" s="80"/>
      <c r="J7" s="83"/>
      <c r="K7" s="84"/>
      <c r="L7" s="82"/>
      <c r="M7" s="82"/>
      <c r="N7" s="82"/>
      <c r="O7" s="82"/>
      <c r="P7" s="82"/>
      <c r="Q7" s="82"/>
      <c r="R7" s="82"/>
      <c r="S7" s="82"/>
      <c r="T7" s="82"/>
      <c r="U7" s="82"/>
      <c r="V7" s="82"/>
    </row>
    <row r="8" spans="1:22">
      <c r="A8" s="77">
        <v>102</v>
      </c>
      <c r="B8" s="70" t="s">
        <v>485</v>
      </c>
      <c r="D8" s="460">
        <v>806847382.58000004</v>
      </c>
      <c r="E8" s="79" t="s">
        <v>486</v>
      </c>
      <c r="F8" s="70" t="s">
        <v>481</v>
      </c>
      <c r="G8" s="77">
        <v>102</v>
      </c>
      <c r="H8" s="71"/>
      <c r="I8" s="80"/>
      <c r="J8" s="83"/>
      <c r="K8" s="84"/>
      <c r="L8" s="82"/>
      <c r="M8" s="82"/>
      <c r="N8" s="82"/>
      <c r="O8" s="82"/>
      <c r="P8" s="82"/>
      <c r="Q8" s="82"/>
      <c r="R8" s="82"/>
      <c r="S8" s="82"/>
      <c r="T8" s="82"/>
      <c r="U8" s="82"/>
      <c r="V8" s="82"/>
    </row>
    <row r="9" spans="1:22">
      <c r="A9" s="77">
        <v>103</v>
      </c>
      <c r="B9" s="70" t="s">
        <v>487</v>
      </c>
      <c r="D9" s="460">
        <v>0</v>
      </c>
      <c r="E9" s="79" t="s">
        <v>488</v>
      </c>
      <c r="F9" s="70" t="s">
        <v>481</v>
      </c>
      <c r="G9" s="77">
        <v>103</v>
      </c>
      <c r="I9" s="80"/>
      <c r="J9" s="83"/>
      <c r="K9" s="84"/>
      <c r="L9" s="82"/>
      <c r="M9" s="82"/>
      <c r="N9" s="82"/>
      <c r="O9" s="82"/>
      <c r="P9" s="82"/>
      <c r="Q9" s="82"/>
      <c r="R9" s="82"/>
      <c r="S9" s="82"/>
      <c r="T9" s="82"/>
      <c r="U9" s="82"/>
      <c r="V9" s="82"/>
    </row>
    <row r="10" spans="1:22">
      <c r="A10" s="77">
        <v>104</v>
      </c>
      <c r="B10" s="70" t="s">
        <v>489</v>
      </c>
      <c r="D10" s="460">
        <v>5486057.9100000001</v>
      </c>
      <c r="E10" s="79" t="s">
        <v>490</v>
      </c>
      <c r="F10" s="70" t="s">
        <v>481</v>
      </c>
      <c r="G10" s="77">
        <v>104</v>
      </c>
      <c r="I10" s="85"/>
      <c r="J10" s="86"/>
      <c r="K10" s="82"/>
      <c r="L10" s="82"/>
      <c r="M10" s="82"/>
      <c r="N10" s="82"/>
      <c r="O10" s="82"/>
      <c r="P10" s="82"/>
      <c r="Q10" s="82"/>
      <c r="R10" s="82"/>
      <c r="S10" s="82"/>
      <c r="T10" s="82"/>
      <c r="U10" s="82"/>
      <c r="V10" s="82"/>
    </row>
    <row r="11" spans="1:22">
      <c r="A11" s="77">
        <v>105</v>
      </c>
      <c r="B11" s="70" t="s">
        <v>491</v>
      </c>
      <c r="D11" s="460">
        <v>-26193407.199999999</v>
      </c>
      <c r="E11" s="79" t="s">
        <v>492</v>
      </c>
      <c r="F11" s="70" t="s">
        <v>484</v>
      </c>
      <c r="G11" s="77">
        <v>105</v>
      </c>
      <c r="I11" s="82"/>
      <c r="J11" s="82"/>
      <c r="K11" s="82"/>
      <c r="L11" s="82"/>
      <c r="M11" s="82"/>
      <c r="N11" s="82"/>
      <c r="O11" s="82"/>
      <c r="P11" s="82"/>
      <c r="Q11" s="82"/>
      <c r="R11" s="82"/>
      <c r="S11" s="82"/>
      <c r="T11" s="82"/>
      <c r="U11" s="82"/>
      <c r="V11" s="82"/>
    </row>
    <row r="12" spans="1:22">
      <c r="A12" s="77">
        <v>106</v>
      </c>
      <c r="B12" s="70" t="s">
        <v>493</v>
      </c>
      <c r="D12" s="460">
        <v>-197064626.34999999</v>
      </c>
      <c r="E12" s="79" t="s">
        <v>494</v>
      </c>
      <c r="F12" s="70" t="s">
        <v>484</v>
      </c>
      <c r="G12" s="77">
        <v>106</v>
      </c>
      <c r="I12" s="82"/>
      <c r="J12" s="82"/>
      <c r="K12" s="82"/>
      <c r="L12" s="82"/>
      <c r="M12" s="82"/>
      <c r="N12" s="82"/>
      <c r="O12" s="82"/>
      <c r="P12" s="82"/>
      <c r="Q12" s="82"/>
      <c r="R12" s="82"/>
      <c r="S12" s="82"/>
      <c r="T12" s="82"/>
      <c r="U12" s="82"/>
      <c r="V12" s="82"/>
    </row>
    <row r="13" spans="1:22">
      <c r="A13" s="77">
        <v>107</v>
      </c>
      <c r="B13" s="70" t="s">
        <v>495</v>
      </c>
      <c r="D13" s="460">
        <v>-49489664.189999998</v>
      </c>
      <c r="E13" s="79" t="s">
        <v>496</v>
      </c>
      <c r="F13" s="70" t="s">
        <v>484</v>
      </c>
      <c r="G13" s="77">
        <v>107</v>
      </c>
      <c r="I13" s="82"/>
      <c r="J13" s="82"/>
      <c r="K13" s="82"/>
      <c r="L13" s="82"/>
      <c r="M13" s="82"/>
      <c r="N13" s="82"/>
      <c r="O13" s="82"/>
      <c r="P13" s="82"/>
      <c r="Q13" s="82"/>
      <c r="R13" s="82"/>
      <c r="S13" s="82"/>
      <c r="T13" s="82"/>
      <c r="U13" s="82"/>
      <c r="V13" s="82"/>
    </row>
    <row r="14" spans="1:22">
      <c r="A14" s="77">
        <v>108</v>
      </c>
      <c r="B14" s="70" t="s">
        <v>243</v>
      </c>
      <c r="D14" s="410">
        <v>0.27983599999999997</v>
      </c>
      <c r="E14" s="79" t="s">
        <v>497</v>
      </c>
      <c r="G14" s="77">
        <v>108</v>
      </c>
      <c r="I14" s="82"/>
      <c r="J14" s="82"/>
      <c r="K14" s="82"/>
      <c r="L14" s="82"/>
      <c r="M14" s="82"/>
      <c r="N14" s="82"/>
      <c r="O14" s="82"/>
      <c r="P14" s="82"/>
      <c r="Q14" s="82"/>
      <c r="R14" s="82"/>
      <c r="S14" s="82"/>
      <c r="T14" s="82"/>
      <c r="U14" s="82"/>
      <c r="V14" s="82"/>
    </row>
    <row r="15" spans="1:22">
      <c r="A15" s="77">
        <v>109</v>
      </c>
      <c r="B15" s="70" t="s">
        <v>498</v>
      </c>
      <c r="D15" s="461">
        <v>-35640674.52172716</v>
      </c>
      <c r="E15" s="79" t="s">
        <v>499</v>
      </c>
      <c r="G15" s="77">
        <v>109</v>
      </c>
      <c r="I15" s="82"/>
      <c r="J15" s="82"/>
      <c r="K15" s="82"/>
      <c r="L15" s="82"/>
      <c r="M15" s="82"/>
      <c r="N15" s="82"/>
      <c r="O15" s="82"/>
      <c r="P15" s="82"/>
      <c r="Q15" s="82"/>
      <c r="R15" s="82"/>
      <c r="S15" s="82"/>
      <c r="T15" s="82"/>
      <c r="U15" s="82"/>
      <c r="V15" s="82"/>
    </row>
    <row r="16" spans="1:22">
      <c r="A16" s="77">
        <v>110</v>
      </c>
      <c r="B16" s="538" t="s">
        <v>176</v>
      </c>
      <c r="D16" s="69">
        <v>36997110483.858284</v>
      </c>
      <c r="E16" s="79" t="s">
        <v>500</v>
      </c>
      <c r="G16" s="77">
        <v>110</v>
      </c>
    </row>
    <row r="17" spans="1:22">
      <c r="D17" s="88"/>
      <c r="E17" s="79"/>
      <c r="G17" s="77"/>
    </row>
    <row r="18" spans="1:22">
      <c r="B18" s="72" t="s">
        <v>501</v>
      </c>
      <c r="D18" s="88"/>
      <c r="E18" s="79"/>
      <c r="G18" s="77"/>
    </row>
    <row r="19" spans="1:22">
      <c r="A19" s="77">
        <v>111</v>
      </c>
      <c r="B19" s="70" t="s">
        <v>502</v>
      </c>
      <c r="D19" s="22">
        <v>257994575</v>
      </c>
      <c r="E19" s="79" t="s">
        <v>503</v>
      </c>
      <c r="F19" s="70" t="s">
        <v>481</v>
      </c>
      <c r="G19" s="77">
        <v>111</v>
      </c>
      <c r="I19" s="82"/>
      <c r="K19" s="82"/>
      <c r="L19" s="82"/>
      <c r="M19" s="82"/>
      <c r="N19" s="82"/>
      <c r="O19" s="82"/>
      <c r="P19" s="82"/>
      <c r="Q19" s="82"/>
      <c r="R19" s="82"/>
      <c r="S19" s="82"/>
      <c r="T19" s="82"/>
      <c r="U19" s="82"/>
      <c r="V19" s="82"/>
    </row>
    <row r="20" spans="1:22">
      <c r="A20" s="77">
        <v>112</v>
      </c>
      <c r="B20" s="70" t="s">
        <v>504</v>
      </c>
      <c r="D20" s="32">
        <v>-5940274.6799999997</v>
      </c>
      <c r="E20" s="79" t="s">
        <v>505</v>
      </c>
      <c r="F20" s="70" t="s">
        <v>481</v>
      </c>
      <c r="G20" s="77">
        <v>112</v>
      </c>
      <c r="I20" s="82"/>
      <c r="K20" s="82"/>
      <c r="L20" s="82"/>
      <c r="M20" s="82"/>
      <c r="N20" s="82"/>
      <c r="O20" s="82"/>
      <c r="P20" s="82"/>
      <c r="Q20" s="82"/>
      <c r="R20" s="82"/>
      <c r="S20" s="82"/>
      <c r="T20" s="82"/>
      <c r="U20" s="82"/>
      <c r="V20" s="82"/>
    </row>
    <row r="21" spans="1:22">
      <c r="A21" s="77">
        <v>113</v>
      </c>
      <c r="B21" s="70" t="s">
        <v>506</v>
      </c>
      <c r="D21" s="26">
        <v>0</v>
      </c>
      <c r="E21" s="79" t="s">
        <v>507</v>
      </c>
      <c r="F21" s="70" t="s">
        <v>481</v>
      </c>
      <c r="G21" s="77">
        <v>113</v>
      </c>
      <c r="I21" s="82"/>
      <c r="K21" s="82"/>
      <c r="L21" s="82"/>
      <c r="M21" s="82"/>
      <c r="N21" s="82"/>
      <c r="O21" s="82"/>
      <c r="P21" s="82"/>
      <c r="Q21" s="82"/>
      <c r="R21" s="82"/>
      <c r="S21" s="82"/>
      <c r="T21" s="82"/>
      <c r="U21" s="82"/>
      <c r="V21" s="82"/>
    </row>
    <row r="22" spans="1:22">
      <c r="A22" s="77">
        <v>114</v>
      </c>
      <c r="B22" s="538" t="s">
        <v>182</v>
      </c>
      <c r="D22" s="69">
        <v>252054300.31999999</v>
      </c>
      <c r="E22" s="79" t="s">
        <v>508</v>
      </c>
      <c r="G22" s="77">
        <v>114</v>
      </c>
    </row>
    <row r="23" spans="1:22">
      <c r="A23" s="77"/>
      <c r="D23" s="78"/>
      <c r="E23" s="79"/>
      <c r="G23" s="77"/>
    </row>
    <row r="24" spans="1:22">
      <c r="B24" s="72" t="s">
        <v>509</v>
      </c>
      <c r="D24" s="78"/>
      <c r="E24" s="79"/>
      <c r="F24" s="89"/>
      <c r="G24" s="77"/>
    </row>
    <row r="25" spans="1:22">
      <c r="A25" s="77">
        <v>115</v>
      </c>
      <c r="B25" s="70" t="s">
        <v>510</v>
      </c>
      <c r="D25" s="22">
        <v>25611170422.52</v>
      </c>
      <c r="E25" s="79" t="s">
        <v>511</v>
      </c>
      <c r="F25" s="70" t="s">
        <v>481</v>
      </c>
      <c r="G25" s="77">
        <v>115</v>
      </c>
      <c r="I25" s="82"/>
      <c r="J25" s="82"/>
      <c r="K25" s="82"/>
      <c r="L25" s="82"/>
      <c r="M25" s="82"/>
      <c r="N25" s="82"/>
      <c r="O25" s="82"/>
      <c r="P25" s="82"/>
      <c r="Q25" s="82"/>
      <c r="R25" s="82"/>
      <c r="S25" s="82"/>
      <c r="T25" s="82"/>
      <c r="U25" s="82"/>
      <c r="V25" s="82"/>
    </row>
    <row r="26" spans="1:22">
      <c r="A26" s="77">
        <v>116</v>
      </c>
      <c r="B26" s="70" t="s">
        <v>512</v>
      </c>
      <c r="D26" s="32">
        <v>-252054300.31999999</v>
      </c>
      <c r="E26" s="79" t="s">
        <v>513</v>
      </c>
      <c r="F26" s="70" t="s">
        <v>514</v>
      </c>
      <c r="G26" s="77">
        <v>116</v>
      </c>
      <c r="I26" s="82"/>
      <c r="J26" s="82"/>
      <c r="K26" s="82"/>
      <c r="L26" s="82"/>
      <c r="M26" s="82"/>
      <c r="N26" s="82"/>
      <c r="O26" s="82"/>
      <c r="P26" s="82"/>
      <c r="Q26" s="82"/>
      <c r="R26" s="82"/>
      <c r="S26" s="82"/>
      <c r="T26" s="82"/>
      <c r="U26" s="82"/>
      <c r="V26" s="82"/>
    </row>
    <row r="27" spans="1:22">
      <c r="A27" s="77">
        <v>117</v>
      </c>
      <c r="B27" s="70" t="s">
        <v>515</v>
      </c>
      <c r="D27" s="32">
        <v>0</v>
      </c>
      <c r="E27" s="79" t="s">
        <v>516</v>
      </c>
      <c r="F27" s="70" t="s">
        <v>517</v>
      </c>
      <c r="G27" s="77">
        <v>117</v>
      </c>
      <c r="I27" s="82"/>
      <c r="J27" s="82"/>
      <c r="K27" s="82"/>
      <c r="L27" s="82"/>
      <c r="M27" s="82"/>
      <c r="N27" s="82"/>
      <c r="O27" s="82"/>
      <c r="P27" s="82"/>
      <c r="Q27" s="82"/>
      <c r="R27" s="82"/>
      <c r="S27" s="82"/>
      <c r="T27" s="82"/>
      <c r="U27" s="82"/>
      <c r="V27" s="82"/>
    </row>
    <row r="28" spans="1:22">
      <c r="A28" s="77">
        <v>118</v>
      </c>
      <c r="B28" s="70" t="s">
        <v>518</v>
      </c>
      <c r="D28" s="459">
        <v>-344832855.04000002</v>
      </c>
      <c r="E28" s="79" t="s">
        <v>519</v>
      </c>
      <c r="F28" s="70" t="s">
        <v>520</v>
      </c>
      <c r="G28" s="77">
        <v>118</v>
      </c>
      <c r="I28" s="82"/>
      <c r="J28" s="82"/>
      <c r="K28" s="82"/>
      <c r="L28" s="82"/>
      <c r="M28" s="82"/>
      <c r="N28" s="82"/>
      <c r="O28" s="82"/>
      <c r="P28" s="82"/>
      <c r="Q28" s="82"/>
      <c r="R28" s="82"/>
      <c r="S28" s="82"/>
      <c r="T28" s="82"/>
      <c r="U28" s="82"/>
      <c r="V28" s="82"/>
    </row>
    <row r="29" spans="1:22">
      <c r="A29" s="77">
        <v>119</v>
      </c>
      <c r="B29" s="70" t="s">
        <v>521</v>
      </c>
      <c r="D29" s="668">
        <v>7526996.6799999997</v>
      </c>
      <c r="E29" s="79" t="s">
        <v>522</v>
      </c>
      <c r="F29" s="70" t="s">
        <v>520</v>
      </c>
      <c r="G29" s="77">
        <v>119</v>
      </c>
      <c r="I29" s="82"/>
      <c r="J29" s="82"/>
      <c r="K29" s="82"/>
      <c r="L29" s="82"/>
      <c r="M29" s="82"/>
      <c r="N29" s="82"/>
      <c r="O29" s="82"/>
      <c r="P29" s="82"/>
      <c r="Q29" s="82"/>
      <c r="R29" s="82"/>
      <c r="S29" s="82"/>
      <c r="T29" s="82"/>
      <c r="U29" s="82"/>
      <c r="V29" s="82"/>
    </row>
    <row r="30" spans="1:22">
      <c r="A30" s="77">
        <v>120</v>
      </c>
      <c r="B30" s="92" t="s">
        <v>187</v>
      </c>
      <c r="D30" s="69">
        <v>25021810263.84</v>
      </c>
      <c r="E30" s="79" t="s">
        <v>523</v>
      </c>
      <c r="G30" s="77">
        <v>120</v>
      </c>
    </row>
    <row r="31" spans="1:22">
      <c r="B31" s="90"/>
    </row>
    <row r="36" spans="2:2">
      <c r="B36" s="91"/>
    </row>
    <row r="38" spans="2:2">
      <c r="B38" s="79"/>
    </row>
    <row r="40" spans="2:2">
      <c r="B40" s="79"/>
    </row>
    <row r="144" spans="11:11">
      <c r="K144" s="70" t="e">
        <f>E30/E144*E151</f>
        <v>#VALUE!</v>
      </c>
    </row>
    <row r="160" spans="10:10">
      <c r="J160" s="70">
        <f>E160-D160</f>
        <v>0</v>
      </c>
    </row>
  </sheetData>
  <printOptions horizontalCentered="1"/>
  <pageMargins left="1" right="1" top="1" bottom="1" header="0.5" footer="0.5"/>
  <pageSetup scale="75"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Q160"/>
  <sheetViews>
    <sheetView tabSelected="1" view="pageBreakPreview" zoomScale="82" zoomScaleNormal="70" zoomScaleSheetLayoutView="82" zoomScalePageLayoutView="55" workbookViewId="0">
      <selection activeCell="E174" sqref="E174"/>
    </sheetView>
  </sheetViews>
  <sheetFormatPr defaultColWidth="8.81640625" defaultRowHeight="14.5"/>
  <cols>
    <col min="1" max="1" width="6.81640625" style="70" bestFit="1" customWidth="1"/>
    <col min="2" max="2" width="28.1796875" style="70" customWidth="1"/>
    <col min="3" max="3" width="21.453125" style="70" bestFit="1" customWidth="1"/>
    <col min="4" max="4" width="20.7265625" style="70" customWidth="1"/>
    <col min="5" max="6" width="18.81640625" style="70" bestFit="1" customWidth="1"/>
    <col min="7" max="7" width="20" style="70" customWidth="1"/>
    <col min="8" max="8" width="20.1796875" style="70" customWidth="1"/>
    <col min="9" max="9" width="19.453125" style="70" customWidth="1"/>
    <col min="10" max="10" width="13.453125" style="70" customWidth="1"/>
    <col min="11" max="11" width="25.1796875" style="70" customWidth="1"/>
    <col min="12" max="12" width="20.1796875" style="70" customWidth="1"/>
    <col min="13" max="13" width="18.54296875" style="70" bestFit="1" customWidth="1"/>
    <col min="14" max="15" width="18.81640625" style="70" bestFit="1" customWidth="1"/>
    <col min="16" max="16" width="18.81640625" style="70" customWidth="1"/>
    <col min="17" max="17" width="6.81640625" style="70" bestFit="1" customWidth="1"/>
    <col min="18" max="16384" width="8.81640625" style="70"/>
  </cols>
  <sheetData>
    <row r="1" spans="1:17">
      <c r="B1" s="92" t="s">
        <v>18</v>
      </c>
      <c r="O1" s="15"/>
      <c r="P1" s="15" t="str">
        <f>CONCATENATE("Prior Year: ",'1-BaseTRR'!$G$2)</f>
        <v>Prior Year: 2021</v>
      </c>
    </row>
    <row r="2" spans="1:17">
      <c r="B2" s="47" t="s">
        <v>131</v>
      </c>
      <c r="C2" s="93"/>
      <c r="D2" s="93"/>
      <c r="O2" s="15"/>
    </row>
    <row r="3" spans="1:17">
      <c r="B3" s="12"/>
    </row>
    <row r="4" spans="1:17">
      <c r="A4" s="77"/>
      <c r="B4" s="90" t="s">
        <v>350</v>
      </c>
      <c r="C4" s="82"/>
      <c r="D4" s="82"/>
      <c r="E4" s="82"/>
      <c r="F4" s="82"/>
      <c r="G4" s="82"/>
      <c r="H4" s="82"/>
      <c r="I4" s="82"/>
      <c r="J4" s="82"/>
      <c r="K4" s="82"/>
      <c r="L4" s="82"/>
      <c r="M4" s="82"/>
      <c r="N4" s="82"/>
      <c r="O4" s="82"/>
      <c r="P4" s="82"/>
    </row>
    <row r="5" spans="1:17">
      <c r="A5" s="77"/>
      <c r="B5" s="842" t="s">
        <v>524</v>
      </c>
      <c r="C5" s="842"/>
      <c r="D5" s="842"/>
      <c r="E5" s="842"/>
      <c r="F5" s="842"/>
      <c r="G5" s="842"/>
      <c r="H5" s="842"/>
      <c r="I5" s="842"/>
      <c r="J5" s="842"/>
      <c r="K5" s="842"/>
      <c r="L5" s="842"/>
      <c r="M5" s="842"/>
      <c r="N5" s="842"/>
      <c r="O5" s="842"/>
      <c r="P5" s="842"/>
    </row>
    <row r="6" spans="1:17">
      <c r="A6" s="77"/>
      <c r="B6" s="79"/>
      <c r="C6" s="82"/>
      <c r="D6" s="82"/>
      <c r="E6" s="82"/>
      <c r="F6" s="82"/>
      <c r="G6" s="82"/>
      <c r="H6" s="82"/>
      <c r="I6" s="82"/>
      <c r="J6" s="82"/>
      <c r="K6" s="82"/>
      <c r="L6" s="82"/>
      <c r="M6" s="82"/>
      <c r="N6" s="82"/>
      <c r="O6" s="82"/>
      <c r="P6" s="82"/>
    </row>
    <row r="7" spans="1:17">
      <c r="B7" s="12"/>
    </row>
    <row r="8" spans="1:17">
      <c r="C8" s="94" t="s">
        <v>371</v>
      </c>
      <c r="D8" s="94" t="s">
        <v>372</v>
      </c>
      <c r="E8" s="94" t="s">
        <v>373</v>
      </c>
      <c r="F8" s="94" t="s">
        <v>374</v>
      </c>
      <c r="G8" s="94" t="s">
        <v>375</v>
      </c>
      <c r="H8" s="94" t="s">
        <v>376</v>
      </c>
      <c r="I8" s="94" t="s">
        <v>377</v>
      </c>
      <c r="J8" s="94" t="s">
        <v>378</v>
      </c>
      <c r="K8" s="94" t="s">
        <v>409</v>
      </c>
      <c r="L8" s="94" t="s">
        <v>525</v>
      </c>
      <c r="M8" s="94" t="s">
        <v>526</v>
      </c>
      <c r="N8" s="94" t="s">
        <v>527</v>
      </c>
      <c r="O8" s="94" t="s">
        <v>528</v>
      </c>
      <c r="P8" s="94" t="s">
        <v>529</v>
      </c>
    </row>
    <row r="9" spans="1:17">
      <c r="C9" s="95" t="s">
        <v>530</v>
      </c>
      <c r="D9" s="96" t="s">
        <v>428</v>
      </c>
      <c r="E9" s="76" t="s">
        <v>430</v>
      </c>
      <c r="F9" s="76" t="s">
        <v>431</v>
      </c>
      <c r="G9" s="76" t="s">
        <v>432</v>
      </c>
      <c r="H9" s="76" t="s">
        <v>433</v>
      </c>
      <c r="I9" s="76" t="s">
        <v>395</v>
      </c>
      <c r="J9" s="76" t="s">
        <v>531</v>
      </c>
      <c r="K9" s="76" t="s">
        <v>435</v>
      </c>
      <c r="L9" s="76" t="s">
        <v>436</v>
      </c>
      <c r="M9" s="76" t="s">
        <v>437</v>
      </c>
      <c r="N9" s="76" t="s">
        <v>438</v>
      </c>
      <c r="O9" s="76" t="s">
        <v>439</v>
      </c>
      <c r="P9" s="76" t="s">
        <v>428</v>
      </c>
    </row>
    <row r="10" spans="1:17">
      <c r="A10" s="97"/>
      <c r="B10" s="97"/>
      <c r="C10" s="76" t="s">
        <v>532</v>
      </c>
      <c r="D10" s="76">
        <f>'1-BaseTRR'!G2-1</f>
        <v>2020</v>
      </c>
      <c r="E10" s="76">
        <f>'1-BaseTRR'!$G$2</f>
        <v>2021</v>
      </c>
      <c r="F10" s="76">
        <f>'1-BaseTRR'!$G$2</f>
        <v>2021</v>
      </c>
      <c r="G10" s="76">
        <f>'1-BaseTRR'!$G$2</f>
        <v>2021</v>
      </c>
      <c r="H10" s="76">
        <f>'1-BaseTRR'!$G$2</f>
        <v>2021</v>
      </c>
      <c r="I10" s="76">
        <f>'1-BaseTRR'!$G$2</f>
        <v>2021</v>
      </c>
      <c r="J10" s="76">
        <f>'1-BaseTRR'!$G$2</f>
        <v>2021</v>
      </c>
      <c r="K10" s="76">
        <f>'1-BaseTRR'!$G$2</f>
        <v>2021</v>
      </c>
      <c r="L10" s="76">
        <f>'1-BaseTRR'!$G$2</f>
        <v>2021</v>
      </c>
      <c r="M10" s="76">
        <f>'1-BaseTRR'!$G$2</f>
        <v>2021</v>
      </c>
      <c r="N10" s="76">
        <f>'1-BaseTRR'!$G$2</f>
        <v>2021</v>
      </c>
      <c r="O10" s="76">
        <f>'1-BaseTRR'!$G$2</f>
        <v>2021</v>
      </c>
      <c r="P10" s="76">
        <f>'1-BaseTRR'!$G$2</f>
        <v>2021</v>
      </c>
    </row>
    <row r="11" spans="1:17">
      <c r="B11" s="98" t="s">
        <v>6</v>
      </c>
      <c r="C11" s="95"/>
      <c r="D11" s="96"/>
      <c r="E11" s="76"/>
      <c r="F11" s="76"/>
      <c r="G11" s="76"/>
      <c r="H11" s="76"/>
      <c r="I11" s="76"/>
      <c r="J11" s="76"/>
      <c r="K11" s="76"/>
      <c r="L11" s="76"/>
      <c r="M11" s="76"/>
      <c r="N11" s="76"/>
      <c r="O11" s="76"/>
      <c r="P11" s="76"/>
    </row>
    <row r="12" spans="1:17">
      <c r="A12" s="13" t="s">
        <v>100</v>
      </c>
      <c r="B12" s="90" t="s">
        <v>533</v>
      </c>
      <c r="D12" s="96"/>
      <c r="E12" s="99"/>
      <c r="F12" s="99"/>
      <c r="G12" s="99"/>
      <c r="H12" s="99"/>
      <c r="I12" s="99"/>
      <c r="J12" s="99"/>
      <c r="K12" s="99"/>
      <c r="L12" s="99"/>
      <c r="M12" s="99"/>
      <c r="N12" s="99"/>
      <c r="O12" s="99"/>
      <c r="P12" s="99"/>
      <c r="Q12" s="13" t="str">
        <f>A12</f>
        <v>Line</v>
      </c>
    </row>
    <row r="13" spans="1:17">
      <c r="A13" s="77">
        <v>100</v>
      </c>
      <c r="B13" s="77"/>
      <c r="C13" s="24">
        <f>SUM(D13:P13)/13</f>
        <v>34348381099.341537</v>
      </c>
      <c r="D13" s="667">
        <v>31852940000</v>
      </c>
      <c r="E13" s="664">
        <v>31852940000</v>
      </c>
      <c r="F13" s="664">
        <v>31852939854</v>
      </c>
      <c r="G13" s="664">
        <v>34252939854</v>
      </c>
      <c r="H13" s="664">
        <v>34252939854</v>
      </c>
      <c r="I13" s="664">
        <v>34252939854</v>
      </c>
      <c r="J13" s="664">
        <v>35052939854</v>
      </c>
      <c r="K13" s="664">
        <v>35052939854</v>
      </c>
      <c r="L13" s="664">
        <v>35052939854</v>
      </c>
      <c r="M13" s="664">
        <v>35052939854</v>
      </c>
      <c r="N13" s="664">
        <v>35052939854</v>
      </c>
      <c r="O13" s="664">
        <v>36502939854</v>
      </c>
      <c r="P13" s="664">
        <v>36443675751.440002</v>
      </c>
      <c r="Q13" s="77">
        <f>A13</f>
        <v>100</v>
      </c>
    </row>
    <row r="14" spans="1:17">
      <c r="A14" s="77"/>
      <c r="B14" s="90" t="s">
        <v>534</v>
      </c>
      <c r="C14" s="88"/>
      <c r="D14" s="88"/>
      <c r="E14" s="88"/>
      <c r="F14" s="88"/>
      <c r="G14" s="88"/>
      <c r="H14" s="88"/>
      <c r="I14" s="88"/>
      <c r="J14" s="88"/>
      <c r="K14" s="88"/>
      <c r="L14" s="88"/>
      <c r="M14" s="88"/>
      <c r="N14" s="88"/>
      <c r="O14" s="88"/>
      <c r="P14" s="88"/>
      <c r="Q14" s="77"/>
    </row>
    <row r="15" spans="1:17">
      <c r="A15" s="77">
        <f>A13+1</f>
        <v>101</v>
      </c>
      <c r="B15" s="32"/>
      <c r="C15" s="24">
        <f>SUM(D15:P15)/13</f>
        <v>0</v>
      </c>
      <c r="D15" s="52">
        <v>0</v>
      </c>
      <c r="E15" s="52">
        <v>0</v>
      </c>
      <c r="F15" s="52">
        <v>0</v>
      </c>
      <c r="G15" s="52">
        <v>0</v>
      </c>
      <c r="H15" s="52">
        <v>0</v>
      </c>
      <c r="I15" s="52">
        <v>0</v>
      </c>
      <c r="J15" s="52">
        <v>0</v>
      </c>
      <c r="K15" s="52">
        <v>0</v>
      </c>
      <c r="L15" s="52">
        <v>0</v>
      </c>
      <c r="M15" s="52">
        <v>0</v>
      </c>
      <c r="N15" s="52">
        <v>0</v>
      </c>
      <c r="O15" s="52">
        <v>0</v>
      </c>
      <c r="P15" s="52">
        <v>0</v>
      </c>
      <c r="Q15" s="77">
        <f>A15</f>
        <v>101</v>
      </c>
    </row>
    <row r="16" spans="1:17">
      <c r="A16" s="77"/>
      <c r="B16" s="90" t="s">
        <v>535</v>
      </c>
      <c r="C16" s="88"/>
      <c r="D16" s="88"/>
      <c r="E16" s="88"/>
      <c r="F16" s="88"/>
      <c r="G16" s="88"/>
      <c r="H16" s="88"/>
      <c r="I16" s="88"/>
      <c r="J16" s="88"/>
      <c r="K16" s="88"/>
      <c r="L16" s="88"/>
      <c r="M16" s="88"/>
      <c r="N16" s="88"/>
      <c r="O16" s="88"/>
      <c r="P16" s="88"/>
      <c r="Q16" s="77"/>
    </row>
    <row r="17" spans="1:17">
      <c r="A17" s="77">
        <f>A15+1</f>
        <v>102</v>
      </c>
      <c r="B17" s="92"/>
      <c r="C17" s="24">
        <f>SUM(D17:P17)/13</f>
        <v>128249721.73692307</v>
      </c>
      <c r="D17" s="52">
        <v>0</v>
      </c>
      <c r="E17" s="52">
        <v>0</v>
      </c>
      <c r="F17" s="52">
        <v>0</v>
      </c>
      <c r="G17" s="52">
        <v>0</v>
      </c>
      <c r="H17" s="52">
        <v>0</v>
      </c>
      <c r="I17" s="52">
        <v>0</v>
      </c>
      <c r="J17" s="52">
        <v>0</v>
      </c>
      <c r="K17" s="52">
        <v>0</v>
      </c>
      <c r="L17" s="52">
        <v>0</v>
      </c>
      <c r="M17" s="52">
        <v>0</v>
      </c>
      <c r="N17" s="52">
        <v>0</v>
      </c>
      <c r="O17" s="52">
        <v>860399000</v>
      </c>
      <c r="P17" s="52">
        <v>806847382.58000004</v>
      </c>
      <c r="Q17" s="77">
        <f>A17</f>
        <v>102</v>
      </c>
    </row>
    <row r="18" spans="1:17">
      <c r="A18" s="77"/>
      <c r="B18" s="90" t="s">
        <v>536</v>
      </c>
      <c r="C18" s="88"/>
      <c r="D18" s="88"/>
      <c r="E18" s="88"/>
      <c r="F18" s="88"/>
      <c r="G18" s="88"/>
      <c r="H18" s="88"/>
      <c r="I18" s="88"/>
      <c r="J18" s="88"/>
      <c r="K18" s="88"/>
      <c r="L18" s="88"/>
      <c r="M18" s="88"/>
      <c r="N18" s="88"/>
      <c r="O18" s="88"/>
      <c r="P18" s="88"/>
      <c r="Q18" s="77"/>
    </row>
    <row r="19" spans="1:17">
      <c r="A19" s="77">
        <f>A17+1</f>
        <v>103</v>
      </c>
      <c r="B19" s="77"/>
      <c r="C19" s="24">
        <f>SUM(D19:P19)/13</f>
        <v>0</v>
      </c>
      <c r="D19" s="52">
        <v>0</v>
      </c>
      <c r="E19" s="52">
        <v>0</v>
      </c>
      <c r="F19" s="52">
        <v>0</v>
      </c>
      <c r="G19" s="52">
        <v>0</v>
      </c>
      <c r="H19" s="52">
        <v>0</v>
      </c>
      <c r="I19" s="52">
        <v>0</v>
      </c>
      <c r="J19" s="52">
        <v>0</v>
      </c>
      <c r="K19" s="52">
        <v>0</v>
      </c>
      <c r="L19" s="52">
        <v>0</v>
      </c>
      <c r="M19" s="52">
        <v>0</v>
      </c>
      <c r="N19" s="52">
        <v>0</v>
      </c>
      <c r="O19" s="52">
        <v>0</v>
      </c>
      <c r="P19" s="52">
        <v>0</v>
      </c>
      <c r="Q19" s="77">
        <f>A19</f>
        <v>103</v>
      </c>
    </row>
    <row r="20" spans="1:17">
      <c r="A20" s="77"/>
      <c r="B20" s="90" t="s">
        <v>537</v>
      </c>
      <c r="C20" s="88"/>
      <c r="D20" s="88"/>
      <c r="E20" s="88"/>
      <c r="F20" s="88"/>
      <c r="G20" s="88"/>
      <c r="H20" s="88"/>
      <c r="I20" s="88"/>
      <c r="J20" s="88"/>
      <c r="K20" s="88"/>
      <c r="L20" s="88"/>
      <c r="M20" s="88"/>
      <c r="N20" s="88"/>
      <c r="O20" s="88"/>
      <c r="P20" s="88"/>
      <c r="Q20" s="77"/>
    </row>
    <row r="21" spans="1:17">
      <c r="A21" s="77">
        <f>A19+1</f>
        <v>104</v>
      </c>
      <c r="C21" s="24">
        <f>SUM(D21:P21)/13</f>
        <v>847743.46230769227</v>
      </c>
      <c r="D21" s="664">
        <v>0</v>
      </c>
      <c r="E21" s="664">
        <v>0</v>
      </c>
      <c r="F21" s="664">
        <v>0</v>
      </c>
      <c r="G21" s="52">
        <v>0</v>
      </c>
      <c r="H21" s="52">
        <v>0</v>
      </c>
      <c r="I21" s="52">
        <v>0</v>
      </c>
      <c r="J21" s="52">
        <v>0</v>
      </c>
      <c r="K21" s="52">
        <v>0</v>
      </c>
      <c r="L21" s="52">
        <v>0</v>
      </c>
      <c r="M21" s="52">
        <v>0</v>
      </c>
      <c r="N21" s="52">
        <v>0</v>
      </c>
      <c r="O21" s="52">
        <v>5534607.0999999996</v>
      </c>
      <c r="P21" s="52">
        <v>5486057.9100000001</v>
      </c>
      <c r="Q21" s="77">
        <f>A21</f>
        <v>104</v>
      </c>
    </row>
    <row r="22" spans="1:17">
      <c r="A22" s="77"/>
      <c r="B22" s="90" t="s">
        <v>538</v>
      </c>
      <c r="C22" s="88"/>
      <c r="D22" s="88"/>
      <c r="E22" s="88"/>
      <c r="F22" s="88"/>
      <c r="G22" s="88"/>
      <c r="H22" s="88"/>
      <c r="I22" s="88"/>
      <c r="J22" s="88"/>
      <c r="K22" s="88"/>
      <c r="L22" s="88"/>
      <c r="M22" s="88"/>
      <c r="N22" s="88"/>
      <c r="O22" s="88"/>
      <c r="P22" s="88"/>
      <c r="Q22" s="77"/>
    </row>
    <row r="23" spans="1:17">
      <c r="A23" s="77">
        <f>A21+1</f>
        <v>105</v>
      </c>
      <c r="B23" s="100"/>
      <c r="C23" s="24">
        <f>SUM(D23:P23)/13</f>
        <v>23874985.242307689</v>
      </c>
      <c r="D23" s="664">
        <v>20595301.050000001</v>
      </c>
      <c r="E23" s="664">
        <v>20496637.149999999</v>
      </c>
      <c r="F23" s="664">
        <v>20397973.25</v>
      </c>
      <c r="G23" s="52">
        <v>22558514.68</v>
      </c>
      <c r="H23" s="52">
        <v>22446658.77</v>
      </c>
      <c r="I23" s="52">
        <v>22334802.859999999</v>
      </c>
      <c r="J23" s="52">
        <v>26107509.34</v>
      </c>
      <c r="K23" s="52">
        <v>25949113.149999999</v>
      </c>
      <c r="L23" s="52">
        <v>25790716.960000001</v>
      </c>
      <c r="M23" s="52">
        <v>25632320.77</v>
      </c>
      <c r="N23" s="52">
        <v>25473924.579999998</v>
      </c>
      <c r="O23" s="52">
        <v>26397928.390000001</v>
      </c>
      <c r="P23" s="52">
        <v>26193407.199999999</v>
      </c>
      <c r="Q23" s="77">
        <f>A23</f>
        <v>105</v>
      </c>
    </row>
    <row r="24" spans="1:17">
      <c r="B24" s="98" t="s">
        <v>539</v>
      </c>
      <c r="C24" s="88"/>
      <c r="D24" s="88"/>
      <c r="E24" s="88"/>
      <c r="F24" s="88"/>
      <c r="G24" s="88"/>
      <c r="H24" s="88"/>
      <c r="I24" s="88"/>
      <c r="J24" s="88"/>
      <c r="K24" s="88"/>
      <c r="L24" s="88"/>
      <c r="M24" s="88"/>
      <c r="N24" s="88"/>
      <c r="O24" s="88"/>
      <c r="P24" s="88"/>
      <c r="Q24" s="77"/>
    </row>
    <row r="25" spans="1:17">
      <c r="A25" s="806">
        <f>A23+1</f>
        <v>106</v>
      </c>
      <c r="B25" s="807"/>
      <c r="C25" s="808">
        <f>SUM(D25:P25)/13</f>
        <v>153073244.39307693</v>
      </c>
      <c r="D25" s="809">
        <v>155046319.5</v>
      </c>
      <c r="E25" s="809">
        <v>154704146.25999999</v>
      </c>
      <c r="F25" s="809">
        <v>150846315.59999999</v>
      </c>
      <c r="G25" s="810">
        <v>153895269.16999999</v>
      </c>
      <c r="H25" s="810">
        <v>150718076.74000001</v>
      </c>
      <c r="I25" s="810">
        <v>147473060.19999999</v>
      </c>
      <c r="J25" s="810">
        <v>160367910.71000001</v>
      </c>
      <c r="K25" s="810">
        <v>157446312.16999999</v>
      </c>
      <c r="L25" s="810">
        <v>154585333.18000001</v>
      </c>
      <c r="M25" s="810">
        <v>151634918.62</v>
      </c>
      <c r="N25" s="810">
        <v>148239167.96000001</v>
      </c>
      <c r="O25" s="810">
        <v>154500950.65000001</v>
      </c>
      <c r="P25" s="810">
        <v>150494396.34999999</v>
      </c>
      <c r="Q25" s="806">
        <f>A25</f>
        <v>106</v>
      </c>
    </row>
    <row r="26" spans="1:17">
      <c r="A26" s="77"/>
      <c r="B26" s="98" t="s">
        <v>540</v>
      </c>
      <c r="C26" s="88"/>
      <c r="D26" s="88"/>
      <c r="E26" s="88"/>
      <c r="F26" s="88"/>
      <c r="G26" s="88"/>
      <c r="H26" s="88"/>
      <c r="I26" s="88"/>
      <c r="J26" s="88"/>
      <c r="K26" s="88"/>
      <c r="L26" s="88"/>
      <c r="M26" s="88"/>
      <c r="N26" s="88"/>
      <c r="O26" s="88"/>
      <c r="P26" s="88"/>
      <c r="Q26" s="77"/>
    </row>
    <row r="27" spans="1:17">
      <c r="A27" s="77">
        <f>A25+1</f>
        <v>107</v>
      </c>
      <c r="B27" s="100"/>
      <c r="C27" s="24">
        <f>SUM(D27:P27)/13</f>
        <v>56243615.183076933</v>
      </c>
      <c r="D27" s="52">
        <v>62997566.18</v>
      </c>
      <c r="E27" s="52">
        <v>61871907.649999999</v>
      </c>
      <c r="F27" s="52">
        <v>60746249.159999996</v>
      </c>
      <c r="G27" s="52">
        <v>59620590.659999996</v>
      </c>
      <c r="H27" s="52">
        <v>58494932.200000003</v>
      </c>
      <c r="I27" s="52">
        <v>57369273.689999998</v>
      </c>
      <c r="J27" s="52">
        <v>56243615.18</v>
      </c>
      <c r="K27" s="52">
        <v>55117956.659999996</v>
      </c>
      <c r="L27" s="52">
        <v>53992298.189999998</v>
      </c>
      <c r="M27" s="52">
        <v>52866639.689999998</v>
      </c>
      <c r="N27" s="52">
        <v>51740981.200000003</v>
      </c>
      <c r="O27" s="52">
        <v>50615322.729999997</v>
      </c>
      <c r="P27" s="52">
        <v>49489664.189999998</v>
      </c>
      <c r="Q27" s="77">
        <f>A27</f>
        <v>107</v>
      </c>
    </row>
    <row r="28" spans="1:17">
      <c r="B28" s="90" t="s">
        <v>541</v>
      </c>
      <c r="C28" s="88"/>
      <c r="D28" s="88"/>
      <c r="E28" s="88"/>
      <c r="F28" s="88"/>
      <c r="G28" s="88"/>
      <c r="H28" s="88"/>
      <c r="I28" s="88"/>
      <c r="J28" s="88"/>
      <c r="K28" s="88"/>
      <c r="L28" s="88"/>
      <c r="M28" s="88"/>
      <c r="N28" s="88"/>
      <c r="O28" s="88"/>
      <c r="P28" s="88"/>
      <c r="Q28" s="77"/>
    </row>
    <row r="29" spans="1:17">
      <c r="A29" s="77">
        <f>A27+1</f>
        <v>108</v>
      </c>
      <c r="B29" s="77"/>
      <c r="C29" s="24">
        <f>SUM(D29:P29)/13</f>
        <v>257994575</v>
      </c>
      <c r="D29" s="52">
        <v>257994575</v>
      </c>
      <c r="E29" s="52">
        <v>257994575</v>
      </c>
      <c r="F29" s="52">
        <v>257994575</v>
      </c>
      <c r="G29" s="52">
        <v>257994575</v>
      </c>
      <c r="H29" s="52">
        <v>257994575</v>
      </c>
      <c r="I29" s="52">
        <v>257994575</v>
      </c>
      <c r="J29" s="52">
        <v>257994575</v>
      </c>
      <c r="K29" s="52">
        <v>257994575</v>
      </c>
      <c r="L29" s="52">
        <v>257994575</v>
      </c>
      <c r="M29" s="52">
        <v>257994575</v>
      </c>
      <c r="N29" s="52">
        <v>257994575</v>
      </c>
      <c r="O29" s="52">
        <v>257994575</v>
      </c>
      <c r="P29" s="52">
        <v>257994575</v>
      </c>
      <c r="Q29" s="77">
        <f>A29</f>
        <v>108</v>
      </c>
    </row>
    <row r="30" spans="1:17">
      <c r="A30" s="77"/>
      <c r="B30" s="90" t="s">
        <v>542</v>
      </c>
      <c r="C30" s="88"/>
      <c r="D30" s="88"/>
      <c r="E30" s="88"/>
      <c r="F30" s="88"/>
      <c r="G30" s="88"/>
      <c r="H30" s="88"/>
      <c r="I30" s="88"/>
      <c r="J30" s="88"/>
      <c r="K30" s="88"/>
      <c r="L30" s="88"/>
      <c r="M30" s="88"/>
      <c r="N30" s="88"/>
      <c r="O30" s="88"/>
      <c r="P30" s="88"/>
      <c r="Q30" s="77"/>
    </row>
    <row r="31" spans="1:17">
      <c r="A31" s="77">
        <f>A29+1</f>
        <v>109</v>
      </c>
      <c r="B31" s="77"/>
      <c r="C31" s="24">
        <f>SUM(D31:P31)/13</f>
        <v>-5940274.6800000006</v>
      </c>
      <c r="D31" s="52">
        <v>-5940274.6799999997</v>
      </c>
      <c r="E31" s="52">
        <v>-5940274.6799999997</v>
      </c>
      <c r="F31" s="52">
        <v>-5940274.6799999997</v>
      </c>
      <c r="G31" s="52">
        <v>-5940274.6799999997</v>
      </c>
      <c r="H31" s="52">
        <v>-5940274.6799999997</v>
      </c>
      <c r="I31" s="52">
        <v>-5940274.6799999997</v>
      </c>
      <c r="J31" s="52">
        <v>-5940274.6799999997</v>
      </c>
      <c r="K31" s="52">
        <v>-5940274.6799999997</v>
      </c>
      <c r="L31" s="52">
        <v>-5940274.6799999997</v>
      </c>
      <c r="M31" s="52">
        <v>-5940274.6799999997</v>
      </c>
      <c r="N31" s="52">
        <v>-5940274.6799999997</v>
      </c>
      <c r="O31" s="52">
        <v>-5940274.6799999997</v>
      </c>
      <c r="P31" s="52">
        <v>-5940274.6799999997</v>
      </c>
      <c r="Q31" s="77">
        <f>A31</f>
        <v>109</v>
      </c>
    </row>
    <row r="32" spans="1:17">
      <c r="A32" s="77"/>
      <c r="B32" s="90" t="s">
        <v>543</v>
      </c>
      <c r="C32" s="88"/>
      <c r="D32" s="88"/>
      <c r="E32" s="88"/>
      <c r="F32" s="88"/>
      <c r="G32" s="88"/>
      <c r="H32" s="88"/>
      <c r="I32" s="88"/>
      <c r="J32" s="88"/>
      <c r="K32" s="88"/>
      <c r="L32" s="88"/>
      <c r="M32" s="88"/>
      <c r="N32" s="88"/>
      <c r="O32" s="88"/>
      <c r="P32" s="88"/>
      <c r="Q32" s="77"/>
    </row>
    <row r="33" spans="1:17">
      <c r="A33" s="77">
        <f>A31+1</f>
        <v>110</v>
      </c>
      <c r="B33" s="77"/>
      <c r="C33" s="24">
        <f>SUM(D33:P33)/13</f>
        <v>0</v>
      </c>
      <c r="D33" s="52">
        <v>0</v>
      </c>
      <c r="E33" s="52">
        <v>0</v>
      </c>
      <c r="F33" s="52">
        <v>0</v>
      </c>
      <c r="G33" s="52">
        <v>0</v>
      </c>
      <c r="H33" s="52">
        <v>0</v>
      </c>
      <c r="I33" s="52">
        <v>0</v>
      </c>
      <c r="J33" s="52">
        <v>0</v>
      </c>
      <c r="K33" s="52">
        <v>0</v>
      </c>
      <c r="L33" s="52">
        <v>0</v>
      </c>
      <c r="M33" s="52">
        <v>0</v>
      </c>
      <c r="N33" s="52">
        <v>0</v>
      </c>
      <c r="O33" s="52">
        <v>0</v>
      </c>
      <c r="P33" s="52">
        <v>0</v>
      </c>
      <c r="Q33" s="77">
        <f>A33</f>
        <v>110</v>
      </c>
    </row>
    <row r="34" spans="1:17">
      <c r="B34" s="90" t="s">
        <v>544</v>
      </c>
      <c r="C34" s="532"/>
      <c r="D34" s="532"/>
      <c r="E34" s="532"/>
      <c r="F34" s="532"/>
      <c r="G34" s="532"/>
      <c r="H34" s="532"/>
      <c r="I34" s="532"/>
      <c r="J34" s="532"/>
      <c r="K34" s="532"/>
      <c r="L34" s="532"/>
      <c r="M34" s="532"/>
      <c r="N34" s="532"/>
      <c r="O34" s="532"/>
      <c r="P34" s="532"/>
      <c r="Q34" s="77"/>
    </row>
    <row r="35" spans="1:17">
      <c r="A35" s="77">
        <f>+A33+1</f>
        <v>111</v>
      </c>
      <c r="B35" s="77"/>
      <c r="C35" s="24">
        <f>SUM(D35:P35)/13</f>
        <v>25718283686.236923</v>
      </c>
      <c r="D35" s="641">
        <v>25476768827.259998</v>
      </c>
      <c r="E35" s="641">
        <v>25633323296.98</v>
      </c>
      <c r="F35" s="641">
        <v>25836405676.66</v>
      </c>
      <c r="G35" s="641">
        <v>25654388198.560001</v>
      </c>
      <c r="H35" s="641">
        <v>25774794934.5</v>
      </c>
      <c r="I35" s="641">
        <v>25930719405.959999</v>
      </c>
      <c r="J35" s="641">
        <v>26094757868.869999</v>
      </c>
      <c r="K35" s="641">
        <v>26208124367.129997</v>
      </c>
      <c r="L35" s="641">
        <v>26442591273</v>
      </c>
      <c r="M35" s="641">
        <v>25051924382.23</v>
      </c>
      <c r="N35" s="641">
        <v>25194585273.399998</v>
      </c>
      <c r="O35" s="641">
        <v>25428133994.010002</v>
      </c>
      <c r="P35" s="641">
        <v>25611170422.52</v>
      </c>
      <c r="Q35" s="77">
        <f>A35</f>
        <v>111</v>
      </c>
    </row>
    <row r="36" spans="1:17">
      <c r="A36" s="77"/>
      <c r="B36" s="90" t="s">
        <v>545</v>
      </c>
      <c r="C36" s="88"/>
      <c r="D36" s="88"/>
      <c r="E36" s="88"/>
      <c r="F36" s="88"/>
      <c r="G36" s="88"/>
      <c r="H36" s="88"/>
      <c r="I36" s="88"/>
      <c r="J36" s="88"/>
      <c r="K36" s="88"/>
      <c r="L36" s="88"/>
      <c r="M36" s="88"/>
      <c r="N36" s="88"/>
      <c r="O36" s="88"/>
      <c r="P36" s="88"/>
      <c r="Q36" s="77"/>
    </row>
    <row r="37" spans="1:17">
      <c r="A37" s="77">
        <f>+A35+1</f>
        <v>112</v>
      </c>
      <c r="B37" s="77"/>
      <c r="C37" s="24">
        <f>SUM(D37:P37)/13</f>
        <v>-3512820.4123076843</v>
      </c>
      <c r="D37" s="52">
        <v>-32541626.699999999</v>
      </c>
      <c r="E37" s="52">
        <v>-32541626.699999999</v>
      </c>
      <c r="F37" s="52">
        <v>-32541626.699999999</v>
      </c>
      <c r="G37" s="52">
        <v>-32541626.699999999</v>
      </c>
      <c r="H37" s="52">
        <v>-32541626.699999999</v>
      </c>
      <c r="I37" s="52">
        <v>-32541626.699999999</v>
      </c>
      <c r="J37" s="52">
        <v>-32541626.699999999</v>
      </c>
      <c r="K37" s="52">
        <v>-32541626.699999999</v>
      </c>
      <c r="L37" s="52">
        <v>-32541626.699999999</v>
      </c>
      <c r="M37" s="52">
        <v>-32541626.699999999</v>
      </c>
      <c r="N37" s="52">
        <v>-32541626.699999999</v>
      </c>
      <c r="O37" s="52">
        <v>-32541626.699999999</v>
      </c>
      <c r="P37" s="664">
        <v>344832855.04000002</v>
      </c>
      <c r="Q37" s="77">
        <f>A37</f>
        <v>112</v>
      </c>
    </row>
    <row r="38" spans="1:17">
      <c r="A38" s="77"/>
      <c r="B38" s="90" t="s">
        <v>546</v>
      </c>
      <c r="C38" s="88"/>
      <c r="D38" s="88"/>
      <c r="E38" s="88"/>
      <c r="F38" s="88"/>
      <c r="G38" s="88"/>
      <c r="H38" s="88"/>
      <c r="I38" s="88"/>
      <c r="J38" s="88"/>
      <c r="K38" s="88"/>
      <c r="L38" s="88"/>
      <c r="M38" s="88"/>
      <c r="N38" s="88"/>
      <c r="O38" s="88"/>
      <c r="P38" s="88"/>
      <c r="Q38" s="77"/>
    </row>
    <row r="39" spans="1:17">
      <c r="A39" s="77">
        <f>A37+1</f>
        <v>113</v>
      </c>
      <c r="B39" s="77"/>
      <c r="C39" s="24">
        <f>SUM(D39:P39)/13</f>
        <v>-4372708.1076923078</v>
      </c>
      <c r="D39" s="52">
        <v>-4621217.7</v>
      </c>
      <c r="E39" s="52">
        <v>-4528286.24</v>
      </c>
      <c r="F39" s="52">
        <v>-4435310.5</v>
      </c>
      <c r="G39" s="52">
        <v>-4342334.76</v>
      </c>
      <c r="H39" s="52">
        <v>-4249297.53</v>
      </c>
      <c r="I39" s="52">
        <v>-4156321.79</v>
      </c>
      <c r="J39" s="52">
        <v>-4063346.05</v>
      </c>
      <c r="K39" s="52">
        <v>-3970370.31</v>
      </c>
      <c r="L39" s="52">
        <v>-3877394.57</v>
      </c>
      <c r="M39" s="52">
        <v>-3784418.83</v>
      </c>
      <c r="N39" s="52">
        <v>-3691443.09</v>
      </c>
      <c r="O39" s="52">
        <v>-3598467.35</v>
      </c>
      <c r="P39" s="52">
        <v>-7526996.6799999997</v>
      </c>
      <c r="Q39" s="77">
        <f>A39</f>
        <v>113</v>
      </c>
    </row>
    <row r="40" spans="1:17">
      <c r="A40" s="77"/>
      <c r="B40" s="77"/>
      <c r="C40" s="82"/>
      <c r="D40" s="82"/>
      <c r="E40" s="82"/>
      <c r="F40" s="82"/>
      <c r="G40" s="82"/>
      <c r="H40" s="82"/>
      <c r="I40" s="82"/>
      <c r="J40" s="82"/>
      <c r="K40" s="82"/>
      <c r="L40" s="82"/>
      <c r="M40" s="82"/>
      <c r="N40" s="82"/>
      <c r="O40" s="82"/>
      <c r="P40" s="82"/>
    </row>
    <row r="41" spans="1:17">
      <c r="B41" s="16" t="s">
        <v>306</v>
      </c>
    </row>
    <row r="42" spans="1:17">
      <c r="B42" t="s">
        <v>547</v>
      </c>
      <c r="I42" s="71"/>
    </row>
    <row r="43" spans="1:17">
      <c r="B43" t="s">
        <v>548</v>
      </c>
    </row>
    <row r="44" spans="1:17">
      <c r="B44" t="s">
        <v>549</v>
      </c>
    </row>
    <row r="45" spans="1:17">
      <c r="B45" t="s">
        <v>550</v>
      </c>
    </row>
    <row r="46" spans="1:17">
      <c r="B46" t="s">
        <v>551</v>
      </c>
      <c r="C46" s="100"/>
    </row>
    <row r="47" spans="1:17">
      <c r="B47" t="s">
        <v>552</v>
      </c>
      <c r="C47" s="100"/>
    </row>
    <row r="48" spans="1:17">
      <c r="B48" t="s">
        <v>553</v>
      </c>
      <c r="C48" s="100"/>
    </row>
    <row r="49" spans="2:8">
      <c r="B49" t="s">
        <v>554</v>
      </c>
      <c r="C49" s="100"/>
    </row>
    <row r="50" spans="2:8">
      <c r="B50" s="70" t="s">
        <v>555</v>
      </c>
    </row>
    <row r="51" spans="2:8">
      <c r="B51" s="70" t="s">
        <v>556</v>
      </c>
    </row>
    <row r="52" spans="2:8">
      <c r="B52" s="70" t="s">
        <v>557</v>
      </c>
      <c r="H52" s="77"/>
    </row>
    <row r="53" spans="2:8">
      <c r="B53" s="70" t="s">
        <v>558</v>
      </c>
    </row>
    <row r="54" spans="2:8">
      <c r="B54" s="70" t="s">
        <v>559</v>
      </c>
    </row>
    <row r="55" spans="2:8">
      <c r="B55" s="70" t="s">
        <v>560</v>
      </c>
    </row>
    <row r="56" spans="2:8">
      <c r="B56" s="70" t="s">
        <v>561</v>
      </c>
    </row>
    <row r="57" spans="2:8">
      <c r="H57" s="449"/>
    </row>
    <row r="144" spans="11:11">
      <c r="K144" s="70" t="e">
        <f>E30/E144*E151</f>
        <v>#DIV/0!</v>
      </c>
    </row>
    <row r="160" spans="10:10">
      <c r="J160" s="70">
        <f>E160-D160</f>
        <v>0</v>
      </c>
    </row>
  </sheetData>
  <mergeCells count="1">
    <mergeCell ref="B5:P5"/>
  </mergeCells>
  <printOptions horizontalCentered="1"/>
  <pageMargins left="1" right="1" top="1" bottom="1" header="0.5" footer="0.5"/>
  <pageSetup scale="36"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3F88E-A20F-40B4-8B23-963CF74A331D}">
  <sheetPr>
    <tabColor rgb="FFFF0000"/>
    <pageSetUpPr fitToPage="1"/>
  </sheetPr>
  <dimension ref="A1:Q160"/>
  <sheetViews>
    <sheetView tabSelected="1" view="pageBreakPreview" zoomScale="82" zoomScaleNormal="70" zoomScaleSheetLayoutView="82" zoomScalePageLayoutView="55" workbookViewId="0">
      <selection activeCell="E174" sqref="E174"/>
    </sheetView>
  </sheetViews>
  <sheetFormatPr defaultColWidth="8.81640625" defaultRowHeight="14.5"/>
  <cols>
    <col min="1" max="1" width="6.81640625" style="70" bestFit="1" customWidth="1"/>
    <col min="2" max="2" width="28.1796875" style="70" customWidth="1"/>
    <col min="3" max="3" width="21.453125" style="70" bestFit="1" customWidth="1"/>
    <col min="4" max="4" width="20.7265625" style="70" customWidth="1"/>
    <col min="5" max="6" width="18.81640625" style="70" bestFit="1" customWidth="1"/>
    <col min="7" max="7" width="20" style="70" customWidth="1"/>
    <col min="8" max="8" width="20.1796875" style="70" customWidth="1"/>
    <col min="9" max="9" width="19.453125" style="70" customWidth="1"/>
    <col min="10" max="10" width="13.453125" style="70" customWidth="1"/>
    <col min="11" max="11" width="25.1796875" style="70" customWidth="1"/>
    <col min="12" max="12" width="20.1796875" style="70" customWidth="1"/>
    <col min="13" max="13" width="18.54296875" style="70" bestFit="1" customWidth="1"/>
    <col min="14" max="15" width="18.81640625" style="70" bestFit="1" customWidth="1"/>
    <col min="16" max="16" width="18.81640625" style="70" customWidth="1"/>
    <col min="17" max="17" width="6.81640625" style="70" bestFit="1" customWidth="1"/>
    <col min="18" max="16384" width="8.81640625" style="70"/>
  </cols>
  <sheetData>
    <row r="1" spans="1:17">
      <c r="B1" s="92" t="s">
        <v>18</v>
      </c>
      <c r="O1" s="15"/>
      <c r="P1" s="15" t="s">
        <v>2055</v>
      </c>
    </row>
    <row r="2" spans="1:17">
      <c r="B2" s="47" t="s">
        <v>131</v>
      </c>
      <c r="C2" s="93"/>
      <c r="D2" s="93"/>
      <c r="O2" s="15"/>
    </row>
    <row r="3" spans="1:17">
      <c r="B3" s="12"/>
    </row>
    <row r="4" spans="1:17">
      <c r="A4" s="77"/>
      <c r="B4" s="90" t="s">
        <v>350</v>
      </c>
      <c r="C4" s="82"/>
      <c r="D4" s="82"/>
      <c r="E4" s="82"/>
      <c r="F4" s="82"/>
      <c r="G4" s="82"/>
      <c r="H4" s="82"/>
      <c r="I4" s="82"/>
      <c r="J4" s="82"/>
      <c r="K4" s="82"/>
      <c r="L4" s="82"/>
      <c r="M4" s="82"/>
      <c r="N4" s="82"/>
      <c r="O4" s="82"/>
      <c r="P4" s="82"/>
    </row>
    <row r="5" spans="1:17">
      <c r="A5" s="77"/>
      <c r="B5" s="842" t="s">
        <v>524</v>
      </c>
      <c r="C5" s="842"/>
      <c r="D5" s="842"/>
      <c r="E5" s="842"/>
      <c r="F5" s="842"/>
      <c r="G5" s="842"/>
      <c r="H5" s="842"/>
      <c r="I5" s="842"/>
      <c r="J5" s="842"/>
      <c r="K5" s="842"/>
      <c r="L5" s="842"/>
      <c r="M5" s="842"/>
      <c r="N5" s="842"/>
      <c r="O5" s="842"/>
      <c r="P5" s="842"/>
    </row>
    <row r="6" spans="1:17">
      <c r="A6" s="77"/>
      <c r="B6" s="79"/>
      <c r="C6" s="82"/>
      <c r="D6" s="82"/>
      <c r="E6" s="82"/>
      <c r="F6" s="82"/>
      <c r="G6" s="82"/>
      <c r="H6" s="82"/>
      <c r="I6" s="82"/>
      <c r="J6" s="82"/>
      <c r="K6" s="82"/>
      <c r="L6" s="82"/>
      <c r="M6" s="82"/>
      <c r="N6" s="82"/>
      <c r="O6" s="82"/>
      <c r="P6" s="82"/>
    </row>
    <row r="7" spans="1:17">
      <c r="B7" s="12"/>
    </row>
    <row r="8" spans="1:17">
      <c r="C8" s="94" t="s">
        <v>371</v>
      </c>
      <c r="D8" s="94" t="s">
        <v>372</v>
      </c>
      <c r="E8" s="94" t="s">
        <v>373</v>
      </c>
      <c r="F8" s="94" t="s">
        <v>374</v>
      </c>
      <c r="G8" s="94" t="s">
        <v>375</v>
      </c>
      <c r="H8" s="94" t="s">
        <v>376</v>
      </c>
      <c r="I8" s="94" t="s">
        <v>377</v>
      </c>
      <c r="J8" s="94" t="s">
        <v>378</v>
      </c>
      <c r="K8" s="94" t="s">
        <v>409</v>
      </c>
      <c r="L8" s="94" t="s">
        <v>525</v>
      </c>
      <c r="M8" s="94" t="s">
        <v>526</v>
      </c>
      <c r="N8" s="94" t="s">
        <v>527</v>
      </c>
      <c r="O8" s="94" t="s">
        <v>528</v>
      </c>
      <c r="P8" s="94" t="s">
        <v>529</v>
      </c>
    </row>
    <row r="9" spans="1:17">
      <c r="C9" s="95" t="s">
        <v>530</v>
      </c>
      <c r="D9" s="96" t="s">
        <v>428</v>
      </c>
      <c r="E9" s="76" t="s">
        <v>430</v>
      </c>
      <c r="F9" s="76" t="s">
        <v>431</v>
      </c>
      <c r="G9" s="76" t="s">
        <v>432</v>
      </c>
      <c r="H9" s="76" t="s">
        <v>433</v>
      </c>
      <c r="I9" s="76" t="s">
        <v>395</v>
      </c>
      <c r="J9" s="76" t="s">
        <v>531</v>
      </c>
      <c r="K9" s="76" t="s">
        <v>435</v>
      </c>
      <c r="L9" s="76" t="s">
        <v>436</v>
      </c>
      <c r="M9" s="76" t="s">
        <v>437</v>
      </c>
      <c r="N9" s="76" t="s">
        <v>438</v>
      </c>
      <c r="O9" s="76" t="s">
        <v>439</v>
      </c>
      <c r="P9" s="76" t="s">
        <v>428</v>
      </c>
    </row>
    <row r="10" spans="1:17">
      <c r="A10" s="97"/>
      <c r="B10" s="97"/>
      <c r="C10" s="76" t="s">
        <v>532</v>
      </c>
      <c r="D10" s="76">
        <v>2020</v>
      </c>
      <c r="E10" s="76">
        <v>2021</v>
      </c>
      <c r="F10" s="76">
        <v>2021</v>
      </c>
      <c r="G10" s="76">
        <v>2021</v>
      </c>
      <c r="H10" s="76">
        <v>2021</v>
      </c>
      <c r="I10" s="76">
        <v>2021</v>
      </c>
      <c r="J10" s="76">
        <v>2021</v>
      </c>
      <c r="K10" s="76">
        <v>2021</v>
      </c>
      <c r="L10" s="76">
        <v>2021</v>
      </c>
      <c r="M10" s="76">
        <v>2021</v>
      </c>
      <c r="N10" s="76">
        <v>2021</v>
      </c>
      <c r="O10" s="76">
        <v>2021</v>
      </c>
      <c r="P10" s="76">
        <v>2021</v>
      </c>
    </row>
    <row r="11" spans="1:17">
      <c r="B11" s="98" t="s">
        <v>6</v>
      </c>
      <c r="C11" s="95"/>
      <c r="D11" s="96"/>
      <c r="E11" s="76"/>
      <c r="F11" s="76"/>
      <c r="G11" s="76"/>
      <c r="H11" s="76"/>
      <c r="I11" s="76"/>
      <c r="J11" s="76"/>
      <c r="K11" s="76"/>
      <c r="L11" s="76"/>
      <c r="M11" s="76"/>
      <c r="N11" s="76"/>
      <c r="O11" s="76"/>
      <c r="P11" s="76"/>
    </row>
    <row r="12" spans="1:17">
      <c r="A12" s="13" t="s">
        <v>100</v>
      </c>
      <c r="B12" s="90" t="s">
        <v>533</v>
      </c>
      <c r="D12" s="96"/>
      <c r="E12" s="99"/>
      <c r="F12" s="99"/>
      <c r="G12" s="99"/>
      <c r="H12" s="99"/>
      <c r="I12" s="99"/>
      <c r="J12" s="99"/>
      <c r="K12" s="99"/>
      <c r="L12" s="99"/>
      <c r="M12" s="99"/>
      <c r="N12" s="99"/>
      <c r="O12" s="99"/>
      <c r="P12" s="99"/>
      <c r="Q12" s="13" t="s">
        <v>100</v>
      </c>
    </row>
    <row r="13" spans="1:17">
      <c r="A13" s="77">
        <v>100</v>
      </c>
      <c r="B13" s="77"/>
      <c r="C13" s="24">
        <v>34348381099.341537</v>
      </c>
      <c r="D13" s="667">
        <v>31852940000</v>
      </c>
      <c r="E13" s="664">
        <v>31852940000</v>
      </c>
      <c r="F13" s="664">
        <v>31852939854</v>
      </c>
      <c r="G13" s="664">
        <v>34252939854</v>
      </c>
      <c r="H13" s="664">
        <v>34252939854</v>
      </c>
      <c r="I13" s="664">
        <v>34252939854</v>
      </c>
      <c r="J13" s="664">
        <v>35052939854</v>
      </c>
      <c r="K13" s="664">
        <v>35052939854</v>
      </c>
      <c r="L13" s="664">
        <v>35052939854</v>
      </c>
      <c r="M13" s="664">
        <v>35052939854</v>
      </c>
      <c r="N13" s="664">
        <v>35052939854</v>
      </c>
      <c r="O13" s="664">
        <v>36502939854</v>
      </c>
      <c r="P13" s="664">
        <v>36443675751.440002</v>
      </c>
      <c r="Q13" s="77">
        <v>100</v>
      </c>
    </row>
    <row r="14" spans="1:17">
      <c r="A14" s="77"/>
      <c r="B14" s="90" t="s">
        <v>534</v>
      </c>
      <c r="C14" s="88"/>
      <c r="D14" s="88"/>
      <c r="E14" s="88"/>
      <c r="F14" s="88"/>
      <c r="G14" s="88"/>
      <c r="H14" s="88"/>
      <c r="I14" s="88"/>
      <c r="J14" s="88"/>
      <c r="K14" s="88"/>
      <c r="L14" s="88"/>
      <c r="M14" s="88"/>
      <c r="N14" s="88"/>
      <c r="O14" s="88"/>
      <c r="P14" s="88"/>
      <c r="Q14" s="77"/>
    </row>
    <row r="15" spans="1:17">
      <c r="A15" s="77">
        <v>101</v>
      </c>
      <c r="B15" s="32"/>
      <c r="C15" s="24">
        <v>0</v>
      </c>
      <c r="D15" s="52">
        <v>0</v>
      </c>
      <c r="E15" s="52">
        <v>0</v>
      </c>
      <c r="F15" s="52">
        <v>0</v>
      </c>
      <c r="G15" s="52">
        <v>0</v>
      </c>
      <c r="H15" s="52">
        <v>0</v>
      </c>
      <c r="I15" s="52">
        <v>0</v>
      </c>
      <c r="J15" s="52">
        <v>0</v>
      </c>
      <c r="K15" s="52">
        <v>0</v>
      </c>
      <c r="L15" s="52">
        <v>0</v>
      </c>
      <c r="M15" s="52">
        <v>0</v>
      </c>
      <c r="N15" s="52">
        <v>0</v>
      </c>
      <c r="O15" s="52">
        <v>0</v>
      </c>
      <c r="P15" s="52">
        <v>0</v>
      </c>
      <c r="Q15" s="77">
        <v>101</v>
      </c>
    </row>
    <row r="16" spans="1:17">
      <c r="A16" s="77"/>
      <c r="B16" s="90" t="s">
        <v>535</v>
      </c>
      <c r="C16" s="88"/>
      <c r="D16" s="88"/>
      <c r="E16" s="88"/>
      <c r="F16" s="88"/>
      <c r="G16" s="88"/>
      <c r="H16" s="88"/>
      <c r="I16" s="88"/>
      <c r="J16" s="88"/>
      <c r="K16" s="88"/>
      <c r="L16" s="88"/>
      <c r="M16" s="88"/>
      <c r="N16" s="88"/>
      <c r="O16" s="88"/>
      <c r="P16" s="88"/>
      <c r="Q16" s="77"/>
    </row>
    <row r="17" spans="1:17">
      <c r="A17" s="77">
        <v>102</v>
      </c>
      <c r="B17" s="92"/>
      <c r="C17" s="24">
        <v>128249721.73692307</v>
      </c>
      <c r="D17" s="52">
        <v>0</v>
      </c>
      <c r="E17" s="52">
        <v>0</v>
      </c>
      <c r="F17" s="52">
        <v>0</v>
      </c>
      <c r="G17" s="52">
        <v>0</v>
      </c>
      <c r="H17" s="52">
        <v>0</v>
      </c>
      <c r="I17" s="52">
        <v>0</v>
      </c>
      <c r="J17" s="52">
        <v>0</v>
      </c>
      <c r="K17" s="52">
        <v>0</v>
      </c>
      <c r="L17" s="52">
        <v>0</v>
      </c>
      <c r="M17" s="52">
        <v>0</v>
      </c>
      <c r="N17" s="52">
        <v>0</v>
      </c>
      <c r="O17" s="52">
        <v>860399000</v>
      </c>
      <c r="P17" s="52">
        <v>806847382.58000004</v>
      </c>
      <c r="Q17" s="77">
        <v>102</v>
      </c>
    </row>
    <row r="18" spans="1:17">
      <c r="A18" s="77"/>
      <c r="B18" s="90" t="s">
        <v>536</v>
      </c>
      <c r="C18" s="88"/>
      <c r="D18" s="88"/>
      <c r="E18" s="88"/>
      <c r="F18" s="88"/>
      <c r="G18" s="88"/>
      <c r="H18" s="88"/>
      <c r="I18" s="88"/>
      <c r="J18" s="88"/>
      <c r="K18" s="88"/>
      <c r="L18" s="88"/>
      <c r="M18" s="88"/>
      <c r="N18" s="88"/>
      <c r="O18" s="88"/>
      <c r="P18" s="88"/>
      <c r="Q18" s="77"/>
    </row>
    <row r="19" spans="1:17">
      <c r="A19" s="77">
        <v>103</v>
      </c>
      <c r="B19" s="77"/>
      <c r="C19" s="24">
        <v>0</v>
      </c>
      <c r="D19" s="52">
        <v>0</v>
      </c>
      <c r="E19" s="52">
        <v>0</v>
      </c>
      <c r="F19" s="52">
        <v>0</v>
      </c>
      <c r="G19" s="52">
        <v>0</v>
      </c>
      <c r="H19" s="52">
        <v>0</v>
      </c>
      <c r="I19" s="52">
        <v>0</v>
      </c>
      <c r="J19" s="52">
        <v>0</v>
      </c>
      <c r="K19" s="52">
        <v>0</v>
      </c>
      <c r="L19" s="52">
        <v>0</v>
      </c>
      <c r="M19" s="52">
        <v>0</v>
      </c>
      <c r="N19" s="52">
        <v>0</v>
      </c>
      <c r="O19" s="52">
        <v>0</v>
      </c>
      <c r="P19" s="52">
        <v>0</v>
      </c>
      <c r="Q19" s="77">
        <v>103</v>
      </c>
    </row>
    <row r="20" spans="1:17">
      <c r="A20" s="77"/>
      <c r="B20" s="90" t="s">
        <v>537</v>
      </c>
      <c r="C20" s="88"/>
      <c r="D20" s="88"/>
      <c r="E20" s="88"/>
      <c r="F20" s="88"/>
      <c r="G20" s="88"/>
      <c r="H20" s="88"/>
      <c r="I20" s="88"/>
      <c r="J20" s="88"/>
      <c r="K20" s="88"/>
      <c r="L20" s="88"/>
      <c r="M20" s="88"/>
      <c r="N20" s="88"/>
      <c r="O20" s="88"/>
      <c r="P20" s="88"/>
      <c r="Q20" s="77"/>
    </row>
    <row r="21" spans="1:17">
      <c r="A21" s="77">
        <v>104</v>
      </c>
      <c r="C21" s="24">
        <v>847743.46230769227</v>
      </c>
      <c r="D21" s="664">
        <v>0</v>
      </c>
      <c r="E21" s="664">
        <v>0</v>
      </c>
      <c r="F21" s="664">
        <v>0</v>
      </c>
      <c r="G21" s="52">
        <v>0</v>
      </c>
      <c r="H21" s="52">
        <v>0</v>
      </c>
      <c r="I21" s="52">
        <v>0</v>
      </c>
      <c r="J21" s="52">
        <v>0</v>
      </c>
      <c r="K21" s="52">
        <v>0</v>
      </c>
      <c r="L21" s="52">
        <v>0</v>
      </c>
      <c r="M21" s="52">
        <v>0</v>
      </c>
      <c r="N21" s="52">
        <v>0</v>
      </c>
      <c r="O21" s="52">
        <v>5534607.0999999996</v>
      </c>
      <c r="P21" s="52">
        <v>5486057.9100000001</v>
      </c>
      <c r="Q21" s="77">
        <v>104</v>
      </c>
    </row>
    <row r="22" spans="1:17">
      <c r="A22" s="77"/>
      <c r="B22" s="90" t="s">
        <v>538</v>
      </c>
      <c r="C22" s="88"/>
      <c r="D22" s="88"/>
      <c r="E22" s="88"/>
      <c r="F22" s="88"/>
      <c r="G22" s="88"/>
      <c r="H22" s="88"/>
      <c r="I22" s="88"/>
      <c r="J22" s="88"/>
      <c r="K22" s="88"/>
      <c r="L22" s="88"/>
      <c r="M22" s="88"/>
      <c r="N22" s="88"/>
      <c r="O22" s="88"/>
      <c r="P22" s="88"/>
      <c r="Q22" s="77"/>
    </row>
    <row r="23" spans="1:17">
      <c r="A23" s="77">
        <v>105</v>
      </c>
      <c r="B23" s="100"/>
      <c r="C23" s="24">
        <v>23874985.242307689</v>
      </c>
      <c r="D23" s="664">
        <v>20595301.050000001</v>
      </c>
      <c r="E23" s="664">
        <v>20496637.149999999</v>
      </c>
      <c r="F23" s="664">
        <v>20397973.25</v>
      </c>
      <c r="G23" s="52">
        <v>22558514.68</v>
      </c>
      <c r="H23" s="52">
        <v>22446658.77</v>
      </c>
      <c r="I23" s="52">
        <v>22334802.859999999</v>
      </c>
      <c r="J23" s="52">
        <v>26107509.34</v>
      </c>
      <c r="K23" s="52">
        <v>25949113.149999999</v>
      </c>
      <c r="L23" s="52">
        <v>25790716.960000001</v>
      </c>
      <c r="M23" s="52">
        <v>25632320.77</v>
      </c>
      <c r="N23" s="52">
        <v>25473924.579999998</v>
      </c>
      <c r="O23" s="52">
        <v>26397928.390000001</v>
      </c>
      <c r="P23" s="52">
        <v>26193407.199999999</v>
      </c>
      <c r="Q23" s="77">
        <v>105</v>
      </c>
    </row>
    <row r="24" spans="1:17">
      <c r="B24" s="98" t="s">
        <v>539</v>
      </c>
      <c r="C24" s="88"/>
      <c r="D24" s="88"/>
      <c r="E24" s="88"/>
      <c r="F24" s="88"/>
      <c r="G24" s="88"/>
      <c r="H24" s="88"/>
      <c r="I24" s="88"/>
      <c r="J24" s="88"/>
      <c r="K24" s="88"/>
      <c r="L24" s="88"/>
      <c r="M24" s="88"/>
      <c r="N24" s="88"/>
      <c r="O24" s="88"/>
      <c r="P24" s="88"/>
      <c r="Q24" s="77"/>
    </row>
    <row r="25" spans="1:17">
      <c r="A25" s="77">
        <v>106</v>
      </c>
      <c r="B25" s="92"/>
      <c r="C25" s="24">
        <v>199836395.77769232</v>
      </c>
      <c r="D25" s="664">
        <v>198238359.5</v>
      </c>
      <c r="E25" s="664">
        <v>197638106.25999999</v>
      </c>
      <c r="F25" s="664">
        <v>193522196.59999999</v>
      </c>
      <c r="G25" s="52">
        <v>203148856.16999999</v>
      </c>
      <c r="H25" s="52">
        <v>199673512.74000001</v>
      </c>
      <c r="I25" s="52">
        <v>196130346.19999999</v>
      </c>
      <c r="J25" s="52">
        <v>208727045.71000001</v>
      </c>
      <c r="K25" s="52">
        <v>205507296.16999999</v>
      </c>
      <c r="L25" s="52">
        <v>202348166.18000001</v>
      </c>
      <c r="M25" s="52">
        <v>199099601.62</v>
      </c>
      <c r="N25" s="52">
        <v>195405699.96000001</v>
      </c>
      <c r="O25" s="52">
        <v>201369331.65000001</v>
      </c>
      <c r="P25" s="52">
        <v>197064626.34999999</v>
      </c>
      <c r="Q25" s="77">
        <v>106</v>
      </c>
    </row>
    <row r="26" spans="1:17">
      <c r="A26" s="77"/>
      <c r="B26" s="98" t="s">
        <v>540</v>
      </c>
      <c r="C26" s="88"/>
      <c r="D26" s="88"/>
      <c r="E26" s="88"/>
      <c r="F26" s="88"/>
      <c r="G26" s="88"/>
      <c r="H26" s="88"/>
      <c r="I26" s="88"/>
      <c r="J26" s="88"/>
      <c r="K26" s="88"/>
      <c r="L26" s="88"/>
      <c r="M26" s="88"/>
      <c r="N26" s="88"/>
      <c r="O26" s="88"/>
      <c r="P26" s="88"/>
      <c r="Q26" s="77"/>
    </row>
    <row r="27" spans="1:17">
      <c r="A27" s="77">
        <v>107</v>
      </c>
      <c r="B27" s="100"/>
      <c r="C27" s="24">
        <v>56243615.183076933</v>
      </c>
      <c r="D27" s="52">
        <v>62997566.18</v>
      </c>
      <c r="E27" s="52">
        <v>61871907.649999999</v>
      </c>
      <c r="F27" s="52">
        <v>60746249.159999996</v>
      </c>
      <c r="G27" s="52">
        <v>59620590.659999996</v>
      </c>
      <c r="H27" s="52">
        <v>58494932.200000003</v>
      </c>
      <c r="I27" s="52">
        <v>57369273.689999998</v>
      </c>
      <c r="J27" s="52">
        <v>56243615.18</v>
      </c>
      <c r="K27" s="52">
        <v>55117956.659999996</v>
      </c>
      <c r="L27" s="52">
        <v>53992298.189999998</v>
      </c>
      <c r="M27" s="52">
        <v>52866639.689999998</v>
      </c>
      <c r="N27" s="52">
        <v>51740981.200000003</v>
      </c>
      <c r="O27" s="52">
        <v>50615322.729999997</v>
      </c>
      <c r="P27" s="52">
        <v>49489664.189999998</v>
      </c>
      <c r="Q27" s="77">
        <v>107</v>
      </c>
    </row>
    <row r="28" spans="1:17">
      <c r="B28" s="90" t="s">
        <v>541</v>
      </c>
      <c r="C28" s="88"/>
      <c r="D28" s="88"/>
      <c r="E28" s="88"/>
      <c r="F28" s="88"/>
      <c r="G28" s="88"/>
      <c r="H28" s="88"/>
      <c r="I28" s="88"/>
      <c r="J28" s="88"/>
      <c r="K28" s="88"/>
      <c r="L28" s="88"/>
      <c r="M28" s="88"/>
      <c r="N28" s="88"/>
      <c r="O28" s="88"/>
      <c r="P28" s="88"/>
      <c r="Q28" s="77"/>
    </row>
    <row r="29" spans="1:17">
      <c r="A29" s="77">
        <v>108</v>
      </c>
      <c r="B29" s="77"/>
      <c r="C29" s="24">
        <v>257994575</v>
      </c>
      <c r="D29" s="52">
        <v>257994575</v>
      </c>
      <c r="E29" s="52">
        <v>257994575</v>
      </c>
      <c r="F29" s="52">
        <v>257994575</v>
      </c>
      <c r="G29" s="52">
        <v>257994575</v>
      </c>
      <c r="H29" s="52">
        <v>257994575</v>
      </c>
      <c r="I29" s="52">
        <v>257994575</v>
      </c>
      <c r="J29" s="52">
        <v>257994575</v>
      </c>
      <c r="K29" s="52">
        <v>257994575</v>
      </c>
      <c r="L29" s="52">
        <v>257994575</v>
      </c>
      <c r="M29" s="52">
        <v>257994575</v>
      </c>
      <c r="N29" s="52">
        <v>257994575</v>
      </c>
      <c r="O29" s="52">
        <v>257994575</v>
      </c>
      <c r="P29" s="52">
        <v>257994575</v>
      </c>
      <c r="Q29" s="77">
        <v>108</v>
      </c>
    </row>
    <row r="30" spans="1:17">
      <c r="A30" s="77"/>
      <c r="B30" s="90" t="s">
        <v>542</v>
      </c>
      <c r="C30" s="88"/>
      <c r="D30" s="88"/>
      <c r="E30" s="88"/>
      <c r="F30" s="88"/>
      <c r="G30" s="88"/>
      <c r="H30" s="88"/>
      <c r="I30" s="88"/>
      <c r="J30" s="88"/>
      <c r="K30" s="88"/>
      <c r="L30" s="88"/>
      <c r="M30" s="88"/>
      <c r="N30" s="88"/>
      <c r="O30" s="88"/>
      <c r="P30" s="88"/>
      <c r="Q30" s="77"/>
    </row>
    <row r="31" spans="1:17">
      <c r="A31" s="77">
        <v>109</v>
      </c>
      <c r="B31" s="77"/>
      <c r="C31" s="24">
        <v>-5940274.6800000006</v>
      </c>
      <c r="D31" s="52">
        <v>-5940274.6799999997</v>
      </c>
      <c r="E31" s="52">
        <v>-5940274.6799999997</v>
      </c>
      <c r="F31" s="52">
        <v>-5940274.6799999997</v>
      </c>
      <c r="G31" s="52">
        <v>-5940274.6799999997</v>
      </c>
      <c r="H31" s="52">
        <v>-5940274.6799999997</v>
      </c>
      <c r="I31" s="52">
        <v>-5940274.6799999997</v>
      </c>
      <c r="J31" s="52">
        <v>-5940274.6799999997</v>
      </c>
      <c r="K31" s="52">
        <v>-5940274.6799999997</v>
      </c>
      <c r="L31" s="52">
        <v>-5940274.6799999997</v>
      </c>
      <c r="M31" s="52">
        <v>-5940274.6799999997</v>
      </c>
      <c r="N31" s="52">
        <v>-5940274.6799999997</v>
      </c>
      <c r="O31" s="52">
        <v>-5940274.6799999997</v>
      </c>
      <c r="P31" s="52">
        <v>-5940274.6799999997</v>
      </c>
      <c r="Q31" s="77">
        <v>109</v>
      </c>
    </row>
    <row r="32" spans="1:17">
      <c r="A32" s="77"/>
      <c r="B32" s="90" t="s">
        <v>543</v>
      </c>
      <c r="C32" s="88"/>
      <c r="D32" s="88"/>
      <c r="E32" s="88"/>
      <c r="F32" s="88"/>
      <c r="G32" s="88"/>
      <c r="H32" s="88"/>
      <c r="I32" s="88"/>
      <c r="J32" s="88"/>
      <c r="K32" s="88"/>
      <c r="L32" s="88"/>
      <c r="M32" s="88"/>
      <c r="N32" s="88"/>
      <c r="O32" s="88"/>
      <c r="P32" s="88"/>
      <c r="Q32" s="77"/>
    </row>
    <row r="33" spans="1:17">
      <c r="A33" s="77">
        <v>110</v>
      </c>
      <c r="B33" s="77"/>
      <c r="C33" s="24">
        <v>0</v>
      </c>
      <c r="D33" s="52">
        <v>0</v>
      </c>
      <c r="E33" s="52">
        <v>0</v>
      </c>
      <c r="F33" s="52">
        <v>0</v>
      </c>
      <c r="G33" s="52">
        <v>0</v>
      </c>
      <c r="H33" s="52">
        <v>0</v>
      </c>
      <c r="I33" s="52">
        <v>0</v>
      </c>
      <c r="J33" s="52">
        <v>0</v>
      </c>
      <c r="K33" s="52">
        <v>0</v>
      </c>
      <c r="L33" s="52">
        <v>0</v>
      </c>
      <c r="M33" s="52">
        <v>0</v>
      </c>
      <c r="N33" s="52">
        <v>0</v>
      </c>
      <c r="O33" s="52">
        <v>0</v>
      </c>
      <c r="P33" s="52">
        <v>0</v>
      </c>
      <c r="Q33" s="77">
        <v>110</v>
      </c>
    </row>
    <row r="34" spans="1:17">
      <c r="B34" s="90" t="s">
        <v>544</v>
      </c>
      <c r="C34" s="532"/>
      <c r="D34" s="532"/>
      <c r="E34" s="532"/>
      <c r="F34" s="532"/>
      <c r="G34" s="532"/>
      <c r="H34" s="532"/>
      <c r="I34" s="532"/>
      <c r="J34" s="532"/>
      <c r="K34" s="532"/>
      <c r="L34" s="532"/>
      <c r="M34" s="532"/>
      <c r="N34" s="532"/>
      <c r="O34" s="532"/>
      <c r="P34" s="532"/>
      <c r="Q34" s="77"/>
    </row>
    <row r="35" spans="1:17">
      <c r="A35" s="77">
        <v>111</v>
      </c>
      <c r="B35" s="77"/>
      <c r="C35" s="24">
        <v>25718283686.236923</v>
      </c>
      <c r="D35" s="641">
        <v>25476768827.259998</v>
      </c>
      <c r="E35" s="641">
        <v>25633323296.98</v>
      </c>
      <c r="F35" s="641">
        <v>25836405676.66</v>
      </c>
      <c r="G35" s="641">
        <v>25654388198.560001</v>
      </c>
      <c r="H35" s="641">
        <v>25774794934.5</v>
      </c>
      <c r="I35" s="641">
        <v>25930719405.959999</v>
      </c>
      <c r="J35" s="641">
        <v>26094757868.869999</v>
      </c>
      <c r="K35" s="641">
        <v>26208124367.129997</v>
      </c>
      <c r="L35" s="641">
        <v>26442591273</v>
      </c>
      <c r="M35" s="641">
        <v>25051924382.23</v>
      </c>
      <c r="N35" s="641">
        <v>25194585273.399998</v>
      </c>
      <c r="O35" s="641">
        <v>25428133994.010002</v>
      </c>
      <c r="P35" s="641">
        <v>25611170422.52</v>
      </c>
      <c r="Q35" s="77">
        <v>111</v>
      </c>
    </row>
    <row r="36" spans="1:17">
      <c r="A36" s="77"/>
      <c r="B36" s="90" t="s">
        <v>545</v>
      </c>
      <c r="C36" s="88"/>
      <c r="D36" s="88"/>
      <c r="E36" s="88"/>
      <c r="F36" s="88"/>
      <c r="G36" s="88"/>
      <c r="H36" s="88"/>
      <c r="I36" s="88"/>
      <c r="J36" s="88"/>
      <c r="K36" s="88"/>
      <c r="L36" s="88"/>
      <c r="M36" s="88"/>
      <c r="N36" s="88"/>
      <c r="O36" s="88"/>
      <c r="P36" s="88"/>
      <c r="Q36" s="77"/>
    </row>
    <row r="37" spans="1:17">
      <c r="A37" s="77">
        <v>112</v>
      </c>
      <c r="B37" s="77"/>
      <c r="C37" s="24">
        <v>-3512820.4123076843</v>
      </c>
      <c r="D37" s="52">
        <v>-32541626.699999999</v>
      </c>
      <c r="E37" s="52">
        <v>-32541626.699999999</v>
      </c>
      <c r="F37" s="52">
        <v>-32541626.699999999</v>
      </c>
      <c r="G37" s="52">
        <v>-32541626.699999999</v>
      </c>
      <c r="H37" s="52">
        <v>-32541626.699999999</v>
      </c>
      <c r="I37" s="52">
        <v>-32541626.699999999</v>
      </c>
      <c r="J37" s="52">
        <v>-32541626.699999999</v>
      </c>
      <c r="K37" s="52">
        <v>-32541626.699999999</v>
      </c>
      <c r="L37" s="52">
        <v>-32541626.699999999</v>
      </c>
      <c r="M37" s="52">
        <v>-32541626.699999999</v>
      </c>
      <c r="N37" s="52">
        <v>-32541626.699999999</v>
      </c>
      <c r="O37" s="52">
        <v>-32541626.699999999</v>
      </c>
      <c r="P37" s="664">
        <v>344832855.04000002</v>
      </c>
      <c r="Q37" s="77">
        <v>112</v>
      </c>
    </row>
    <row r="38" spans="1:17">
      <c r="A38" s="77"/>
      <c r="B38" s="90" t="s">
        <v>546</v>
      </c>
      <c r="C38" s="88"/>
      <c r="D38" s="88"/>
      <c r="E38" s="88"/>
      <c r="F38" s="88"/>
      <c r="G38" s="88"/>
      <c r="H38" s="88"/>
      <c r="I38" s="88"/>
      <c r="J38" s="88"/>
      <c r="K38" s="88"/>
      <c r="L38" s="88"/>
      <c r="M38" s="88"/>
      <c r="N38" s="88"/>
      <c r="O38" s="88"/>
      <c r="P38" s="88"/>
      <c r="Q38" s="77"/>
    </row>
    <row r="39" spans="1:17">
      <c r="A39" s="77">
        <v>113</v>
      </c>
      <c r="B39" s="77"/>
      <c r="C39" s="24">
        <v>-4372708.1076923078</v>
      </c>
      <c r="D39" s="52">
        <v>-4621217.7</v>
      </c>
      <c r="E39" s="52">
        <v>-4528286.24</v>
      </c>
      <c r="F39" s="52">
        <v>-4435310.5</v>
      </c>
      <c r="G39" s="52">
        <v>-4342334.76</v>
      </c>
      <c r="H39" s="52">
        <v>-4249297.53</v>
      </c>
      <c r="I39" s="52">
        <v>-4156321.79</v>
      </c>
      <c r="J39" s="52">
        <v>-4063346.05</v>
      </c>
      <c r="K39" s="52">
        <v>-3970370.31</v>
      </c>
      <c r="L39" s="52">
        <v>-3877394.57</v>
      </c>
      <c r="M39" s="52">
        <v>-3784418.83</v>
      </c>
      <c r="N39" s="52">
        <v>-3691443.09</v>
      </c>
      <c r="O39" s="52">
        <v>-3598467.35</v>
      </c>
      <c r="P39" s="52">
        <v>-7526996.6799999997</v>
      </c>
      <c r="Q39" s="77">
        <v>113</v>
      </c>
    </row>
    <row r="40" spans="1:17">
      <c r="A40" s="77"/>
      <c r="B40" s="77"/>
      <c r="C40" s="82"/>
      <c r="D40" s="82"/>
      <c r="E40" s="82"/>
      <c r="F40" s="82"/>
      <c r="G40" s="82"/>
      <c r="H40" s="82"/>
      <c r="I40" s="82"/>
      <c r="J40" s="82"/>
      <c r="K40" s="82"/>
      <c r="L40" s="82"/>
      <c r="M40" s="82"/>
      <c r="N40" s="82"/>
      <c r="O40" s="82"/>
      <c r="P40" s="82"/>
    </row>
    <row r="41" spans="1:17">
      <c r="B41" s="16" t="s">
        <v>306</v>
      </c>
    </row>
    <row r="42" spans="1:17">
      <c r="B42" t="s">
        <v>547</v>
      </c>
      <c r="I42" s="71"/>
    </row>
    <row r="43" spans="1:17">
      <c r="B43" t="s">
        <v>548</v>
      </c>
    </row>
    <row r="44" spans="1:17">
      <c r="B44" t="s">
        <v>549</v>
      </c>
    </row>
    <row r="45" spans="1:17">
      <c r="B45" t="s">
        <v>550</v>
      </c>
    </row>
    <row r="46" spans="1:17">
      <c r="B46" t="s">
        <v>551</v>
      </c>
      <c r="C46" s="100"/>
    </row>
    <row r="47" spans="1:17">
      <c r="B47" t="s">
        <v>552</v>
      </c>
      <c r="C47" s="100"/>
    </row>
    <row r="48" spans="1:17">
      <c r="B48" t="s">
        <v>553</v>
      </c>
      <c r="C48" s="100"/>
    </row>
    <row r="49" spans="2:8">
      <c r="B49" t="s">
        <v>554</v>
      </c>
      <c r="C49" s="100"/>
    </row>
    <row r="50" spans="2:8">
      <c r="B50" s="70" t="s">
        <v>555</v>
      </c>
    </row>
    <row r="51" spans="2:8">
      <c r="B51" s="70" t="s">
        <v>556</v>
      </c>
    </row>
    <row r="52" spans="2:8">
      <c r="B52" s="70" t="s">
        <v>557</v>
      </c>
      <c r="H52" s="77"/>
    </row>
    <row r="53" spans="2:8">
      <c r="B53" s="70" t="s">
        <v>558</v>
      </c>
    </row>
    <row r="54" spans="2:8">
      <c r="B54" s="70" t="s">
        <v>559</v>
      </c>
    </row>
    <row r="55" spans="2:8">
      <c r="B55" s="70" t="s">
        <v>560</v>
      </c>
    </row>
    <row r="56" spans="2:8">
      <c r="B56" s="70" t="s">
        <v>561</v>
      </c>
    </row>
    <row r="57" spans="2:8">
      <c r="H57" s="449"/>
    </row>
    <row r="144" spans="11:11">
      <c r="K144" s="70" t="e">
        <f>E30/E144*E151</f>
        <v>#DIV/0!</v>
      </c>
    </row>
    <row r="160" spans="10:10">
      <c r="J160" s="70">
        <f>E160-D160</f>
        <v>0</v>
      </c>
    </row>
  </sheetData>
  <mergeCells count="1">
    <mergeCell ref="B5:P5"/>
  </mergeCells>
  <printOptions horizontalCentered="1"/>
  <pageMargins left="1" right="1" top="1" bottom="1" header="0.5" footer="0.5"/>
  <pageSetup scale="36"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60"/>
  <sheetViews>
    <sheetView tabSelected="1" view="pageBreakPreview" zoomScale="90" zoomScaleNormal="70" zoomScaleSheetLayoutView="90" zoomScalePageLayoutView="70" workbookViewId="0">
      <selection activeCell="E174" sqref="E174"/>
    </sheetView>
  </sheetViews>
  <sheetFormatPr defaultColWidth="9.1796875" defaultRowHeight="14.5"/>
  <cols>
    <col min="1" max="1" width="4.81640625" style="101" bestFit="1" customWidth="1"/>
    <col min="2" max="2" width="50.1796875" style="103" customWidth="1"/>
    <col min="3" max="3" width="17.81640625" style="105" customWidth="1"/>
    <col min="4" max="4" width="17.81640625" style="101" bestFit="1" customWidth="1"/>
    <col min="5" max="5" width="21.7265625" style="101" customWidth="1"/>
    <col min="6" max="6" width="24" style="101" bestFit="1" customWidth="1"/>
    <col min="7" max="7" width="44.453125" style="101" customWidth="1"/>
    <col min="8" max="8" width="6.7265625" style="101" bestFit="1" customWidth="1"/>
    <col min="9" max="9" width="29.1796875" style="101" bestFit="1" customWidth="1"/>
    <col min="10" max="10" width="13.453125" style="101" customWidth="1"/>
    <col min="11" max="11" width="25.1796875" style="101" customWidth="1"/>
    <col min="12" max="12" width="10" style="101" bestFit="1" customWidth="1"/>
    <col min="13" max="14" width="15.54296875" style="101" customWidth="1"/>
    <col min="15" max="15" width="13.453125" style="101" customWidth="1"/>
    <col min="16" max="16384" width="9.1796875" style="101"/>
  </cols>
  <sheetData>
    <row r="1" spans="1:10">
      <c r="B1" s="102" t="s">
        <v>20</v>
      </c>
      <c r="C1" s="103"/>
      <c r="D1" s="103"/>
      <c r="E1" s="103"/>
      <c r="F1" s="103"/>
      <c r="G1" s="15" t="str">
        <f>CONCATENATE("Prior Year: ",'1-BaseTRR'!$G$2)</f>
        <v>Prior Year: 2021</v>
      </c>
      <c r="H1" s="103"/>
      <c r="J1" s="104"/>
    </row>
    <row r="2" spans="1:10">
      <c r="B2" s="47" t="s">
        <v>131</v>
      </c>
      <c r="C2" s="103"/>
      <c r="D2" s="103"/>
      <c r="E2" s="103"/>
      <c r="F2" s="103"/>
      <c r="H2" s="103"/>
      <c r="J2" s="104"/>
    </row>
    <row r="3" spans="1:10">
      <c r="A3" s="13"/>
      <c r="E3" s="13"/>
      <c r="F3" s="103"/>
      <c r="G3" s="103"/>
      <c r="H3" s="103"/>
      <c r="J3" s="104"/>
    </row>
    <row r="4" spans="1:10">
      <c r="B4" s="53" t="s">
        <v>562</v>
      </c>
      <c r="C4" s="53"/>
      <c r="D4" s="53"/>
      <c r="E4" s="53"/>
      <c r="F4" s="53"/>
      <c r="G4" s="53"/>
      <c r="H4" s="14"/>
      <c r="I4" s="103"/>
      <c r="J4" s="106"/>
    </row>
    <row r="5" spans="1:10">
      <c r="A5" s="13" t="s">
        <v>100</v>
      </c>
      <c r="B5" s="13" t="s">
        <v>6</v>
      </c>
      <c r="F5" s="13" t="s">
        <v>134</v>
      </c>
      <c r="G5" s="13" t="s">
        <v>135</v>
      </c>
      <c r="H5" s="13" t="s">
        <v>100</v>
      </c>
      <c r="I5" s="103"/>
      <c r="J5" s="104"/>
    </row>
    <row r="6" spans="1:10">
      <c r="A6" s="107"/>
      <c r="B6" s="108" t="s">
        <v>563</v>
      </c>
      <c r="C6" s="109"/>
      <c r="D6" s="103"/>
      <c r="E6" s="107"/>
      <c r="F6" s="103"/>
      <c r="G6" s="110"/>
      <c r="H6" s="107"/>
      <c r="I6" s="103"/>
      <c r="J6" s="104"/>
    </row>
    <row r="7" spans="1:10">
      <c r="A7" s="107">
        <v>100</v>
      </c>
      <c r="B7" s="104" t="s">
        <v>564</v>
      </c>
      <c r="C7" s="109"/>
      <c r="D7" s="103"/>
      <c r="E7" s="107"/>
      <c r="F7" s="462">
        <v>36443675751.440002</v>
      </c>
      <c r="G7" s="103" t="s">
        <v>565</v>
      </c>
      <c r="H7" s="107">
        <f t="shared" ref="H7:H14" si="0">A7</f>
        <v>100</v>
      </c>
      <c r="I7" s="103"/>
      <c r="J7" s="104"/>
    </row>
    <row r="8" spans="1:10">
      <c r="A8" s="107">
        <f>A7+1</f>
        <v>101</v>
      </c>
      <c r="B8" s="104" t="s">
        <v>566</v>
      </c>
      <c r="C8" s="111"/>
      <c r="D8" s="112"/>
      <c r="E8" s="107"/>
      <c r="F8" s="462">
        <v>0</v>
      </c>
      <c r="G8" s="103" t="s">
        <v>567</v>
      </c>
      <c r="H8" s="107">
        <f t="shared" si="0"/>
        <v>101</v>
      </c>
      <c r="I8" s="103"/>
      <c r="J8" s="104"/>
    </row>
    <row r="9" spans="1:10">
      <c r="A9" s="107">
        <f t="shared" ref="A9:A14" si="1">A8+1</f>
        <v>102</v>
      </c>
      <c r="B9" s="104" t="s">
        <v>568</v>
      </c>
      <c r="C9" s="111"/>
      <c r="D9" s="112"/>
      <c r="E9" s="107"/>
      <c r="F9" s="462">
        <v>0</v>
      </c>
      <c r="G9" s="103" t="s">
        <v>569</v>
      </c>
      <c r="H9" s="107">
        <f t="shared" si="0"/>
        <v>102</v>
      </c>
      <c r="I9" s="103"/>
      <c r="J9" s="104"/>
    </row>
    <row r="10" spans="1:10">
      <c r="A10" s="107">
        <f t="shared" si="1"/>
        <v>103</v>
      </c>
      <c r="B10" s="104" t="s">
        <v>570</v>
      </c>
      <c r="C10" s="111"/>
      <c r="D10" s="112"/>
      <c r="E10" s="107"/>
      <c r="F10" s="462">
        <v>5486057.9100000001</v>
      </c>
      <c r="G10" s="103" t="s">
        <v>571</v>
      </c>
      <c r="H10" s="107">
        <f t="shared" si="0"/>
        <v>103</v>
      </c>
      <c r="I10" s="103"/>
      <c r="J10" s="104"/>
    </row>
    <row r="11" spans="1:10">
      <c r="A11" s="107">
        <f t="shared" si="1"/>
        <v>104</v>
      </c>
      <c r="B11" s="104" t="s">
        <v>572</v>
      </c>
      <c r="C11" s="111"/>
      <c r="D11" s="112"/>
      <c r="E11" s="107"/>
      <c r="F11" s="462">
        <v>26193407.199999999</v>
      </c>
      <c r="G11" s="103" t="s">
        <v>573</v>
      </c>
      <c r="H11" s="107">
        <f t="shared" si="0"/>
        <v>104</v>
      </c>
      <c r="I11" s="103"/>
      <c r="J11" s="104"/>
    </row>
    <row r="12" spans="1:10">
      <c r="A12" s="107">
        <f t="shared" si="1"/>
        <v>105</v>
      </c>
      <c r="B12" s="104" t="s">
        <v>574</v>
      </c>
      <c r="C12" s="111"/>
      <c r="D12" s="112"/>
      <c r="E12" s="107"/>
      <c r="F12" s="462">
        <v>150494395.88999999</v>
      </c>
      <c r="G12" s="103" t="s">
        <v>575</v>
      </c>
      <c r="H12" s="107">
        <f t="shared" si="0"/>
        <v>105</v>
      </c>
      <c r="I12" s="103"/>
      <c r="J12" s="104"/>
    </row>
    <row r="13" spans="1:10">
      <c r="A13" s="107">
        <f t="shared" si="1"/>
        <v>106</v>
      </c>
      <c r="B13" s="104" t="s">
        <v>576</v>
      </c>
      <c r="C13" s="111"/>
      <c r="D13" s="112"/>
      <c r="E13" s="107"/>
      <c r="F13" s="463">
        <v>49489664.189999998</v>
      </c>
      <c r="G13" s="103" t="s">
        <v>577</v>
      </c>
      <c r="H13" s="107">
        <f t="shared" si="0"/>
        <v>106</v>
      </c>
      <c r="I13" s="103"/>
      <c r="J13" s="104"/>
    </row>
    <row r="14" spans="1:10">
      <c r="A14" s="107">
        <f t="shared" si="1"/>
        <v>107</v>
      </c>
      <c r="B14" s="539" t="s">
        <v>578</v>
      </c>
      <c r="C14" s="111"/>
      <c r="D14" s="112"/>
      <c r="E14" s="107"/>
      <c r="F14" s="466">
        <f>F7-F8+F9+F10-F11-F12-F13</f>
        <v>36222984342.070007</v>
      </c>
      <c r="G14" s="103" t="str">
        <f>CONCATENATE("Lines ((",A7," + ",A9," + ",A10,") - (",A8," + ",A11," + ",A12," + ",A13," ))")</f>
        <v>Lines ((100 + 102 + 103) - (101 + 104 + 105 + 106 ))</v>
      </c>
      <c r="H14" s="107">
        <f t="shared" si="0"/>
        <v>107</v>
      </c>
      <c r="I14" s="114"/>
      <c r="J14" s="113"/>
    </row>
    <row r="15" spans="1:10">
      <c r="A15" s="107"/>
      <c r="B15" s="104"/>
      <c r="C15" s="111"/>
      <c r="D15" s="112"/>
      <c r="E15" s="107"/>
      <c r="F15" s="115"/>
      <c r="G15" s="103"/>
      <c r="H15" s="103"/>
      <c r="J15" s="104"/>
    </row>
    <row r="16" spans="1:10">
      <c r="A16" s="107"/>
      <c r="B16" s="108" t="s">
        <v>579</v>
      </c>
      <c r="C16" s="111"/>
      <c r="D16" s="112"/>
      <c r="E16" s="107"/>
      <c r="F16" s="115"/>
      <c r="G16" s="103"/>
      <c r="H16" s="103"/>
      <c r="J16" s="104"/>
    </row>
    <row r="17" spans="1:12">
      <c r="A17" s="107">
        <f>A14+1</f>
        <v>108</v>
      </c>
      <c r="B17" s="104" t="s">
        <v>580</v>
      </c>
      <c r="C17" s="111"/>
      <c r="D17" s="112"/>
      <c r="E17" s="107"/>
      <c r="F17" s="464">
        <v>1200006997</v>
      </c>
      <c r="G17" s="103" t="s">
        <v>581</v>
      </c>
      <c r="H17" s="107">
        <f t="shared" ref="H17:H24" si="2">A17</f>
        <v>108</v>
      </c>
      <c r="J17" s="104"/>
    </row>
    <row r="18" spans="1:12">
      <c r="A18" s="107">
        <f>A17+1</f>
        <v>109</v>
      </c>
      <c r="B18" s="104" t="s">
        <v>582</v>
      </c>
      <c r="C18" s="111"/>
      <c r="D18" s="112"/>
      <c r="E18" s="107"/>
      <c r="F18" s="462">
        <v>65454865.799999997</v>
      </c>
      <c r="G18" s="103" t="s">
        <v>583</v>
      </c>
      <c r="H18" s="107">
        <f t="shared" si="2"/>
        <v>109</v>
      </c>
      <c r="J18" s="104"/>
    </row>
    <row r="19" spans="1:12">
      <c r="A19" s="107">
        <f t="shared" ref="A19:A22" si="3">A18+1</f>
        <v>110</v>
      </c>
      <c r="B19" s="104" t="s">
        <v>584</v>
      </c>
      <c r="C19" s="111"/>
      <c r="D19" s="112"/>
      <c r="E19" s="107"/>
      <c r="F19" s="462">
        <v>13507902</v>
      </c>
      <c r="G19" s="103" t="s">
        <v>585</v>
      </c>
      <c r="H19" s="107">
        <f t="shared" si="2"/>
        <v>110</v>
      </c>
      <c r="J19" s="104"/>
    </row>
    <row r="20" spans="1:12">
      <c r="A20" s="107">
        <f t="shared" si="3"/>
        <v>111</v>
      </c>
      <c r="B20" s="104" t="s">
        <v>586</v>
      </c>
      <c r="C20" s="111"/>
      <c r="D20" s="112"/>
      <c r="E20" s="107"/>
      <c r="F20" s="462">
        <v>817992</v>
      </c>
      <c r="G20" s="103" t="s">
        <v>587</v>
      </c>
      <c r="H20" s="107">
        <f t="shared" si="2"/>
        <v>111</v>
      </c>
      <c r="J20" s="104"/>
    </row>
    <row r="21" spans="1:12">
      <c r="A21" s="107">
        <f t="shared" si="3"/>
        <v>112</v>
      </c>
      <c r="B21" s="104" t="s">
        <v>588</v>
      </c>
      <c r="C21" s="111"/>
      <c r="D21" s="112"/>
      <c r="E21" s="107"/>
      <c r="F21" s="463">
        <v>139701</v>
      </c>
      <c r="G21" s="103" t="s">
        <v>589</v>
      </c>
      <c r="H21" s="107">
        <f t="shared" si="2"/>
        <v>112</v>
      </c>
      <c r="J21" s="104"/>
    </row>
    <row r="22" spans="1:12">
      <c r="A22" s="107">
        <f t="shared" si="3"/>
        <v>113</v>
      </c>
      <c r="B22" s="539" t="s">
        <v>590</v>
      </c>
      <c r="C22" s="111"/>
      <c r="D22" s="112"/>
      <c r="E22" s="107"/>
      <c r="F22" s="540">
        <f>+F17+F18+F19-F20-F21</f>
        <v>1278012071.8</v>
      </c>
      <c r="G22" s="103" t="str">
        <f>CONCATENATE("Lines ((",A17," + ",A18," + ",A19,") - (",A20," + ",A21,"))")</f>
        <v>Lines ((108 + 109 + 110) - (111 + 112))</v>
      </c>
      <c r="H22" s="107">
        <f t="shared" si="2"/>
        <v>113</v>
      </c>
      <c r="J22" s="104"/>
    </row>
    <row r="23" spans="1:12">
      <c r="A23" s="107"/>
      <c r="B23" s="104"/>
      <c r="C23" s="111"/>
      <c r="D23" s="112"/>
      <c r="E23" s="107"/>
      <c r="F23" s="103"/>
      <c r="G23" s="103"/>
      <c r="H23" s="103"/>
      <c r="J23" s="104"/>
    </row>
    <row r="24" spans="1:12">
      <c r="A24" s="107">
        <f>A22+1</f>
        <v>114</v>
      </c>
      <c r="B24" s="542" t="s">
        <v>591</v>
      </c>
      <c r="C24" s="111"/>
      <c r="D24" s="112"/>
      <c r="E24" s="107"/>
      <c r="F24" s="541">
        <f>ROUND(F22/F14,4)</f>
        <v>3.5299999999999998E-2</v>
      </c>
      <c r="G24" s="103" t="str">
        <f>CONCATENATE("Line ",A22," / ","Line ",A14)</f>
        <v>Line 113 / Line 107</v>
      </c>
      <c r="H24" s="107">
        <f t="shared" si="2"/>
        <v>114</v>
      </c>
      <c r="J24" s="104"/>
    </row>
    <row r="25" spans="1:12">
      <c r="A25" s="107"/>
      <c r="B25" s="116"/>
      <c r="C25" s="111"/>
      <c r="D25" s="112"/>
      <c r="E25" s="107"/>
      <c r="F25" s="103"/>
      <c r="G25" s="103"/>
      <c r="H25" s="103"/>
      <c r="J25" s="104"/>
    </row>
    <row r="26" spans="1:12">
      <c r="A26" s="107"/>
      <c r="B26" s="116"/>
      <c r="C26" s="111"/>
      <c r="D26" s="112"/>
      <c r="E26" s="107"/>
      <c r="F26" s="103"/>
      <c r="G26" s="103"/>
      <c r="H26" s="103"/>
      <c r="J26" s="104"/>
    </row>
    <row r="27" spans="1:12">
      <c r="A27" s="107"/>
      <c r="B27" s="117"/>
      <c r="C27" s="111"/>
      <c r="D27" s="112"/>
      <c r="E27" s="107"/>
      <c r="F27" s="103"/>
      <c r="G27" s="103"/>
      <c r="H27" s="103"/>
      <c r="J27" s="104"/>
    </row>
    <row r="28" spans="1:12" ht="12.75" customHeight="1">
      <c r="A28" s="107"/>
      <c r="B28" s="17"/>
      <c r="C28" s="101"/>
      <c r="D28" s="112"/>
      <c r="E28" s="107"/>
      <c r="F28" s="103"/>
      <c r="G28" s="103"/>
      <c r="H28" s="103"/>
      <c r="J28" s="104"/>
    </row>
    <row r="29" spans="1:12">
      <c r="C29" s="118"/>
    </row>
    <row r="30" spans="1:12">
      <c r="C30" s="118"/>
      <c r="L30" s="104"/>
    </row>
    <row r="144" spans="11:11">
      <c r="K144" s="101" t="e">
        <f>E30/E144*E151</f>
        <v>#DIV/0!</v>
      </c>
    </row>
    <row r="160" spans="10:10">
      <c r="J160" s="101">
        <f>E160-D160</f>
        <v>0</v>
      </c>
    </row>
  </sheetData>
  <sheetProtection formatCells="0" formatColumns="0" formatRows="0" insertColumns="0" insertRows="0" insertHyperlinks="0" deleteColumns="0" deleteRows="0" selectLockedCells="1" sort="0" autoFilter="0" pivotTables="0"/>
  <conditionalFormatting sqref="F5:G5">
    <cfRule type="duplicateValues" dxfId="6" priority="1"/>
  </conditionalFormatting>
  <printOptions horizontalCentered="1"/>
  <pageMargins left="1" right="1" top="1" bottom="1" header="0.5" footer="0.5"/>
  <pageSetup scale="61"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60"/>
  <sheetViews>
    <sheetView tabSelected="1" view="pageBreakPreview" zoomScale="110" zoomScaleNormal="85" zoomScaleSheetLayoutView="110" zoomScalePageLayoutView="70" workbookViewId="0">
      <selection activeCell="E174" sqref="E174"/>
    </sheetView>
  </sheetViews>
  <sheetFormatPr defaultColWidth="9.1796875" defaultRowHeight="14.5"/>
  <cols>
    <col min="1" max="1" width="4.54296875" bestFit="1" customWidth="1"/>
    <col min="2" max="2" width="16" customWidth="1"/>
    <col min="3" max="3" width="16.1796875" customWidth="1"/>
    <col min="4" max="4" width="15.81640625" customWidth="1"/>
    <col min="5" max="5" width="15.1796875" customWidth="1"/>
    <col min="6" max="6" width="14.54296875" bestFit="1" customWidth="1"/>
    <col min="7" max="7" width="13.7265625" bestFit="1" customWidth="1"/>
    <col min="8" max="8" width="13.26953125" bestFit="1" customWidth="1"/>
    <col min="9" max="9" width="15.26953125" bestFit="1" customWidth="1"/>
    <col min="10" max="10" width="13.453125" customWidth="1"/>
    <col min="11" max="11" width="25.1796875" customWidth="1"/>
    <col min="12" max="12" width="9.1796875" customWidth="1"/>
    <col min="13" max="13" width="12" bestFit="1" customWidth="1"/>
    <col min="14" max="14" width="10.54296875" bestFit="1" customWidth="1"/>
  </cols>
  <sheetData>
    <row r="1" spans="1:11">
      <c r="B1" s="12" t="s">
        <v>22</v>
      </c>
      <c r="J1" s="15" t="str">
        <f>CONCATENATE("Prior Year: ",'1-BaseTRR'!$G$2)</f>
        <v>Prior Year: 2021</v>
      </c>
    </row>
    <row r="2" spans="1:11">
      <c r="B2" s="119" t="s">
        <v>131</v>
      </c>
      <c r="C2" s="50"/>
      <c r="J2" s="15"/>
    </row>
    <row r="3" spans="1:11">
      <c r="A3" s="13"/>
      <c r="K3" s="13"/>
    </row>
    <row r="4" spans="1:11">
      <c r="B4" s="120" t="s">
        <v>592</v>
      </c>
      <c r="C4" s="55"/>
      <c r="D4" s="55"/>
      <c r="E4" s="55"/>
      <c r="F4" s="55"/>
      <c r="G4" s="55"/>
      <c r="H4" s="55"/>
      <c r="I4" s="55"/>
      <c r="J4" s="55"/>
    </row>
    <row r="5" spans="1:11">
      <c r="A5" s="13" t="s">
        <v>100</v>
      </c>
      <c r="D5" s="121" t="s">
        <v>6</v>
      </c>
      <c r="E5" s="121" t="s">
        <v>593</v>
      </c>
      <c r="F5" s="121" t="s">
        <v>594</v>
      </c>
      <c r="K5" s="13" t="str">
        <f>A5</f>
        <v>Line</v>
      </c>
    </row>
    <row r="6" spans="1:11">
      <c r="A6" s="8">
        <v>100</v>
      </c>
      <c r="B6" s="122"/>
      <c r="C6" s="122"/>
      <c r="D6" s="122" t="s">
        <v>595</v>
      </c>
      <c r="E6" s="33">
        <f>J30</f>
        <v>13916317.264999999</v>
      </c>
      <c r="F6" t="str">
        <f>"Line "&amp;A30&amp;", "&amp;J17&amp;""</f>
        <v>Line 208, Col 9</v>
      </c>
      <c r="K6" s="8">
        <f>A6</f>
        <v>100</v>
      </c>
    </row>
    <row r="7" spans="1:11">
      <c r="A7" s="8">
        <f>A6+1</f>
        <v>101</v>
      </c>
      <c r="B7" s="122"/>
      <c r="C7" s="122"/>
      <c r="D7" s="122" t="s">
        <v>596</v>
      </c>
      <c r="E7" s="33">
        <f>G42</f>
        <v>0</v>
      </c>
      <c r="F7" t="str">
        <f>"Line "&amp;A42&amp;", "&amp;G33&amp;""</f>
        <v>Line 305, Col 6</v>
      </c>
      <c r="K7" s="8">
        <f>A7</f>
        <v>101</v>
      </c>
    </row>
    <row r="8" spans="1:11">
      <c r="A8" s="8">
        <f>A7+1</f>
        <v>102</v>
      </c>
      <c r="B8" s="122"/>
      <c r="C8" s="122"/>
      <c r="D8" s="15" t="s">
        <v>597</v>
      </c>
      <c r="E8" s="354">
        <f>E6+E7</f>
        <v>13916317.264999999</v>
      </c>
      <c r="F8" t="str">
        <f>"Line "&amp;A6&amp;" + Line "&amp;A7&amp;""</f>
        <v>Line 100 + Line 101</v>
      </c>
      <c r="K8" s="8">
        <f>A8</f>
        <v>102</v>
      </c>
    </row>
    <row r="9" spans="1:11">
      <c r="A9" s="8"/>
      <c r="B9" s="122"/>
      <c r="C9" s="122"/>
      <c r="D9" s="122"/>
      <c r="E9" s="33"/>
      <c r="K9" s="8"/>
    </row>
    <row r="10" spans="1:11">
      <c r="A10" s="8">
        <f>A8+1</f>
        <v>103</v>
      </c>
      <c r="B10" s="122"/>
      <c r="C10" s="122"/>
      <c r="D10" s="122" t="s">
        <v>598</v>
      </c>
      <c r="E10" s="33">
        <f>F30</f>
        <v>257994550</v>
      </c>
      <c r="F10" t="str">
        <f>"Line "&amp;A30&amp;", "&amp;F17&amp;""</f>
        <v>Line 208, Col 5</v>
      </c>
      <c r="K10" s="8">
        <f>A10</f>
        <v>103</v>
      </c>
    </row>
    <row r="11" spans="1:11">
      <c r="A11" s="8">
        <f>A10+1</f>
        <v>104</v>
      </c>
      <c r="B11" s="122"/>
      <c r="C11" s="122"/>
      <c r="D11" s="122" t="s">
        <v>599</v>
      </c>
      <c r="E11" s="33">
        <f>G30</f>
        <v>-5940273.2340178555</v>
      </c>
      <c r="F11" t="str">
        <f>"Line "&amp;A30&amp;", "&amp;G17&amp;""</f>
        <v>Line 208, Col 6</v>
      </c>
      <c r="K11" s="8">
        <f>A11</f>
        <v>104</v>
      </c>
    </row>
    <row r="12" spans="1:11">
      <c r="A12" s="8">
        <f>A11+1</f>
        <v>105</v>
      </c>
      <c r="B12" s="122"/>
      <c r="C12" s="122"/>
      <c r="D12" s="15" t="s">
        <v>600</v>
      </c>
      <c r="E12" s="354">
        <f>E10+E11</f>
        <v>252054276.76598215</v>
      </c>
      <c r="F12" t="str">
        <f>"Line "&amp;A10&amp;" + Line "&amp;A11&amp;""</f>
        <v>Line 103 + Line 104</v>
      </c>
      <c r="K12" s="8">
        <f>A12</f>
        <v>105</v>
      </c>
    </row>
    <row r="13" spans="1:11">
      <c r="A13" s="8"/>
      <c r="B13" s="122"/>
      <c r="C13" s="122"/>
      <c r="D13" s="122"/>
      <c r="K13" s="8"/>
    </row>
    <row r="14" spans="1:11">
      <c r="A14" s="8">
        <f>A12+1</f>
        <v>106</v>
      </c>
      <c r="B14" s="122"/>
      <c r="C14" s="122"/>
      <c r="D14" s="15" t="s">
        <v>601</v>
      </c>
      <c r="E14" s="372">
        <f>E8/E12</f>
        <v>5.5211589517762859E-2</v>
      </c>
      <c r="F14" t="str">
        <f>"Line "&amp;A8&amp;" / Line "&amp;A12&amp;""</f>
        <v>Line 102 / Line 105</v>
      </c>
      <c r="K14" s="8">
        <f>A14</f>
        <v>106</v>
      </c>
    </row>
    <row r="15" spans="1:11">
      <c r="A15" s="8"/>
      <c r="K15" s="8"/>
    </row>
    <row r="16" spans="1:11">
      <c r="B16" s="58" t="s">
        <v>602</v>
      </c>
      <c r="C16" s="55"/>
      <c r="D16" s="55"/>
      <c r="E16" s="55"/>
      <c r="F16" s="55"/>
      <c r="G16" s="55"/>
      <c r="H16" s="55"/>
      <c r="I16" s="55"/>
      <c r="J16" s="55"/>
    </row>
    <row r="17" spans="1:14">
      <c r="A17" s="8"/>
      <c r="B17" s="124" t="s">
        <v>371</v>
      </c>
      <c r="C17" s="124" t="s">
        <v>372</v>
      </c>
      <c r="D17" s="124" t="s">
        <v>373</v>
      </c>
      <c r="E17" s="124" t="s">
        <v>374</v>
      </c>
      <c r="F17" s="124" t="s">
        <v>375</v>
      </c>
      <c r="G17" s="124" t="s">
        <v>376</v>
      </c>
      <c r="H17" s="124" t="s">
        <v>377</v>
      </c>
      <c r="I17" s="124" t="s">
        <v>378</v>
      </c>
      <c r="J17" s="124" t="s">
        <v>409</v>
      </c>
      <c r="K17" s="8"/>
    </row>
    <row r="18" spans="1:14">
      <c r="A18" s="8"/>
      <c r="B18" s="125" t="s">
        <v>603</v>
      </c>
      <c r="C18" s="125" t="s">
        <v>603</v>
      </c>
      <c r="D18" s="125" t="s">
        <v>604</v>
      </c>
      <c r="E18" s="125" t="s">
        <v>603</v>
      </c>
      <c r="F18" s="125" t="s">
        <v>605</v>
      </c>
      <c r="G18" s="125" t="s">
        <v>603</v>
      </c>
      <c r="H18" s="125" t="s">
        <v>606</v>
      </c>
      <c r="I18" s="126" t="s">
        <v>607</v>
      </c>
      <c r="J18" s="126" t="s">
        <v>608</v>
      </c>
      <c r="K18" s="8"/>
    </row>
    <row r="19" spans="1:14">
      <c r="A19" s="8"/>
      <c r="B19" s="125" t="s">
        <v>111</v>
      </c>
      <c r="C19" s="125" t="s">
        <v>111</v>
      </c>
      <c r="D19" s="125"/>
      <c r="E19" s="125" t="s">
        <v>111</v>
      </c>
      <c r="F19" s="125"/>
      <c r="G19" s="125" t="s">
        <v>111</v>
      </c>
      <c r="H19" s="125"/>
      <c r="I19" s="126"/>
      <c r="J19" s="125" t="s">
        <v>203</v>
      </c>
      <c r="K19" s="8"/>
    </row>
    <row r="20" spans="1:14">
      <c r="A20" s="8"/>
      <c r="G20" s="44"/>
      <c r="J20" s="8"/>
      <c r="K20" s="8"/>
    </row>
    <row r="21" spans="1:14" ht="43.5">
      <c r="A21" s="13" t="s">
        <v>100</v>
      </c>
      <c r="B21" s="127" t="s">
        <v>609</v>
      </c>
      <c r="C21" s="127" t="s">
        <v>610</v>
      </c>
      <c r="D21" s="127" t="s">
        <v>611</v>
      </c>
      <c r="E21" s="127" t="s">
        <v>612</v>
      </c>
      <c r="F21" s="127" t="s">
        <v>613</v>
      </c>
      <c r="G21" s="127" t="s">
        <v>614</v>
      </c>
      <c r="H21" s="127" t="s">
        <v>615</v>
      </c>
      <c r="I21" s="127" t="s">
        <v>616</v>
      </c>
      <c r="J21" s="127" t="s">
        <v>617</v>
      </c>
      <c r="K21" s="13" t="str">
        <f>A21</f>
        <v>Line</v>
      </c>
    </row>
    <row r="22" spans="1:14">
      <c r="A22" s="8">
        <v>200</v>
      </c>
      <c r="B22" s="128" t="s">
        <v>618</v>
      </c>
      <c r="C22" s="534">
        <v>1914</v>
      </c>
      <c r="D22" s="129">
        <v>0.06</v>
      </c>
      <c r="E22" s="130">
        <v>1.5</v>
      </c>
      <c r="F22" s="465">
        <v>105291525</v>
      </c>
      <c r="G22" s="353">
        <v>-7366504.2509265905</v>
      </c>
      <c r="H22" s="131">
        <v>4211661</v>
      </c>
      <c r="I22" s="33">
        <f>F22+G22</f>
        <v>97925020.749073416</v>
      </c>
      <c r="J22" s="33">
        <f>(H22*E22)</f>
        <v>6317491.5</v>
      </c>
      <c r="K22" s="8">
        <f t="shared" ref="K22:K30" si="0">A22</f>
        <v>200</v>
      </c>
      <c r="M22" s="40"/>
      <c r="N22" s="40"/>
    </row>
    <row r="23" spans="1:14">
      <c r="A23" s="8">
        <f>A22+1</f>
        <v>201</v>
      </c>
      <c r="B23" s="128" t="s">
        <v>619</v>
      </c>
      <c r="C23" s="535">
        <v>1929</v>
      </c>
      <c r="D23" s="129">
        <v>5.5E-2</v>
      </c>
      <c r="E23" s="130">
        <v>1.375</v>
      </c>
      <c r="F23" s="465">
        <v>29329075</v>
      </c>
      <c r="G23" s="353">
        <v>-173730</v>
      </c>
      <c r="H23" s="131">
        <v>1173163</v>
      </c>
      <c r="I23" s="33">
        <f t="shared" ref="I23:I29" si="1">F23+G23</f>
        <v>29155345</v>
      </c>
      <c r="J23" s="33">
        <f t="shared" ref="J23:J29" si="2">(H23*E23)</f>
        <v>1613099.125</v>
      </c>
      <c r="K23" s="8">
        <f t="shared" si="0"/>
        <v>201</v>
      </c>
      <c r="M23" s="40"/>
      <c r="N23" s="40"/>
    </row>
    <row r="24" spans="1:14">
      <c r="A24" s="8">
        <f t="shared" ref="A24:A30" si="3">A23+1</f>
        <v>202</v>
      </c>
      <c r="B24" s="128" t="s">
        <v>620</v>
      </c>
      <c r="C24" s="535">
        <v>15166</v>
      </c>
      <c r="D24" s="129">
        <v>0.05</v>
      </c>
      <c r="E24" s="130">
        <v>1.25</v>
      </c>
      <c r="F24" s="465">
        <v>10000000</v>
      </c>
      <c r="G24" s="353">
        <v>726283</v>
      </c>
      <c r="H24" s="131">
        <v>400000</v>
      </c>
      <c r="I24" s="33">
        <f t="shared" si="1"/>
        <v>10726283</v>
      </c>
      <c r="J24" s="33">
        <f t="shared" si="2"/>
        <v>500000</v>
      </c>
      <c r="K24" s="8">
        <f t="shared" si="0"/>
        <v>202</v>
      </c>
      <c r="M24" s="40"/>
      <c r="N24" s="40"/>
    </row>
    <row r="25" spans="1:14">
      <c r="A25" s="8">
        <f t="shared" si="3"/>
        <v>203</v>
      </c>
      <c r="B25" s="128" t="s">
        <v>621</v>
      </c>
      <c r="C25" s="535">
        <v>17712</v>
      </c>
      <c r="D25" s="129">
        <v>0.05</v>
      </c>
      <c r="E25" s="130">
        <v>1.25</v>
      </c>
      <c r="F25" s="465">
        <v>44454300</v>
      </c>
      <c r="G25" s="353">
        <v>-716366</v>
      </c>
      <c r="H25" s="131">
        <v>1778172</v>
      </c>
      <c r="I25" s="33">
        <f t="shared" si="1"/>
        <v>43737934</v>
      </c>
      <c r="J25" s="33">
        <f t="shared" si="2"/>
        <v>2222715</v>
      </c>
      <c r="K25" s="8">
        <f t="shared" si="0"/>
        <v>203</v>
      </c>
      <c r="M25" s="40"/>
      <c r="N25" s="40"/>
    </row>
    <row r="26" spans="1:14">
      <c r="A26" s="8">
        <f t="shared" si="3"/>
        <v>204</v>
      </c>
      <c r="B26" s="128" t="s">
        <v>622</v>
      </c>
      <c r="C26" s="535">
        <v>18022</v>
      </c>
      <c r="D26" s="129">
        <v>0.05</v>
      </c>
      <c r="E26" s="130">
        <v>1.25</v>
      </c>
      <c r="F26" s="465">
        <v>23358050</v>
      </c>
      <c r="G26" s="353">
        <v>542539</v>
      </c>
      <c r="H26" s="131">
        <v>934322</v>
      </c>
      <c r="I26" s="33">
        <f t="shared" si="1"/>
        <v>23900589</v>
      </c>
      <c r="J26" s="33">
        <f t="shared" si="2"/>
        <v>1167902.5</v>
      </c>
      <c r="K26" s="8">
        <f t="shared" si="0"/>
        <v>204</v>
      </c>
      <c r="M26" s="40"/>
      <c r="N26" s="40"/>
    </row>
    <row r="27" spans="1:14">
      <c r="A27" s="8">
        <f t="shared" si="3"/>
        <v>205</v>
      </c>
      <c r="B27" s="128" t="s">
        <v>623</v>
      </c>
      <c r="C27" s="535">
        <v>18288</v>
      </c>
      <c r="D27" s="129">
        <v>4.8000000000000001E-2</v>
      </c>
      <c r="E27" s="130">
        <v>1.2</v>
      </c>
      <c r="F27" s="465">
        <v>19825775</v>
      </c>
      <c r="G27" s="353">
        <v>1006320.34261801</v>
      </c>
      <c r="H27" s="131">
        <v>793031</v>
      </c>
      <c r="I27" s="33">
        <f t="shared" si="1"/>
        <v>20832095.342618011</v>
      </c>
      <c r="J27" s="33">
        <f t="shared" si="2"/>
        <v>951637.2</v>
      </c>
      <c r="K27" s="8">
        <f t="shared" si="0"/>
        <v>205</v>
      </c>
      <c r="M27" s="40"/>
      <c r="N27" s="40"/>
    </row>
    <row r="28" spans="1:14">
      <c r="A28" s="8">
        <f t="shared" si="3"/>
        <v>206</v>
      </c>
      <c r="B28" s="128" t="s">
        <v>624</v>
      </c>
      <c r="C28" s="535">
        <v>19897</v>
      </c>
      <c r="D28" s="129">
        <v>4.4999999999999998E-2</v>
      </c>
      <c r="E28" s="130">
        <v>1.125</v>
      </c>
      <c r="F28" s="465">
        <v>15278550</v>
      </c>
      <c r="G28" s="353">
        <v>70693.849467725595</v>
      </c>
      <c r="H28" s="131">
        <v>611142</v>
      </c>
      <c r="I28" s="33">
        <f t="shared" si="1"/>
        <v>15349243.849467726</v>
      </c>
      <c r="J28" s="33">
        <f t="shared" si="2"/>
        <v>687534.75</v>
      </c>
      <c r="K28" s="8">
        <f t="shared" si="0"/>
        <v>206</v>
      </c>
      <c r="M28" s="40"/>
      <c r="N28" s="40"/>
    </row>
    <row r="29" spans="1:14">
      <c r="A29" s="8">
        <f t="shared" si="3"/>
        <v>207</v>
      </c>
      <c r="B29" s="128" t="s">
        <v>625</v>
      </c>
      <c r="C29" s="535">
        <v>20387</v>
      </c>
      <c r="D29" s="129">
        <v>4.36E-2</v>
      </c>
      <c r="E29" s="130">
        <v>1.0900000000000001</v>
      </c>
      <c r="F29" s="465">
        <v>10457275</v>
      </c>
      <c r="G29" s="353">
        <v>-29509.175177000001</v>
      </c>
      <c r="H29" s="131">
        <v>418291</v>
      </c>
      <c r="I29" s="33">
        <f t="shared" si="1"/>
        <v>10427765.824823</v>
      </c>
      <c r="J29" s="33">
        <f t="shared" si="2"/>
        <v>455937.19000000006</v>
      </c>
      <c r="K29" s="8">
        <f t="shared" si="0"/>
        <v>207</v>
      </c>
      <c r="M29" s="40"/>
      <c r="N29" s="40"/>
    </row>
    <row r="30" spans="1:14">
      <c r="A30" s="8">
        <f t="shared" si="3"/>
        <v>208</v>
      </c>
      <c r="E30" s="132" t="s">
        <v>626</v>
      </c>
      <c r="F30" s="466">
        <f>SUM(F22:F29)</f>
        <v>257994550</v>
      </c>
      <c r="G30" s="466">
        <f>SUM(G22:G29)</f>
        <v>-5940273.2340178555</v>
      </c>
      <c r="H30" s="414">
        <f>SUM(H22:H29)</f>
        <v>10319782</v>
      </c>
      <c r="I30" s="466">
        <f>SUM(I22:I29)</f>
        <v>252054276.76598215</v>
      </c>
      <c r="J30" s="466">
        <f>SUM(J22:J29)</f>
        <v>13916317.264999999</v>
      </c>
      <c r="K30" s="8">
        <f t="shared" si="0"/>
        <v>208</v>
      </c>
      <c r="N30" s="28"/>
    </row>
    <row r="32" spans="1:14">
      <c r="B32" s="58" t="s">
        <v>627</v>
      </c>
      <c r="C32" s="55"/>
      <c r="D32" s="55"/>
      <c r="E32" s="55"/>
      <c r="F32" s="55"/>
      <c r="G32" s="55"/>
      <c r="H32" s="55"/>
      <c r="I32" s="55"/>
      <c r="J32" s="55"/>
    </row>
    <row r="33" spans="1:11">
      <c r="B33" s="124" t="s">
        <v>371</v>
      </c>
      <c r="C33" s="124" t="s">
        <v>372</v>
      </c>
      <c r="D33" s="124" t="s">
        <v>373</v>
      </c>
      <c r="E33" s="124" t="s">
        <v>374</v>
      </c>
      <c r="F33" s="124" t="s">
        <v>375</v>
      </c>
      <c r="G33" s="124" t="s">
        <v>376</v>
      </c>
    </row>
    <row r="34" spans="1:11">
      <c r="B34" s="133"/>
      <c r="C34" s="133"/>
      <c r="D34" s="133"/>
      <c r="E34" s="133"/>
      <c r="F34" s="133"/>
      <c r="G34" s="133"/>
      <c r="H34" s="134"/>
    </row>
    <row r="36" spans="1:11" ht="43.5">
      <c r="A36" s="13" t="s">
        <v>100</v>
      </c>
      <c r="B36" s="423" t="s">
        <v>181</v>
      </c>
      <c r="C36" s="127" t="s">
        <v>628</v>
      </c>
      <c r="D36" s="424" t="s">
        <v>629</v>
      </c>
      <c r="E36" s="424" t="s">
        <v>630</v>
      </c>
      <c r="F36" s="424" t="s">
        <v>631</v>
      </c>
      <c r="G36" s="424" t="s">
        <v>632</v>
      </c>
      <c r="H36" s="425" t="s">
        <v>633</v>
      </c>
      <c r="I36" s="45"/>
      <c r="K36" s="13" t="str">
        <f t="shared" ref="K36:K42" si="4">A36</f>
        <v>Line</v>
      </c>
    </row>
    <row r="37" spans="1:11">
      <c r="A37" s="8">
        <v>300</v>
      </c>
      <c r="B37" s="135"/>
      <c r="C37" s="136"/>
      <c r="D37" s="137"/>
      <c r="E37" s="137"/>
      <c r="F37" s="128"/>
      <c r="G37" s="137"/>
      <c r="H37" s="138"/>
      <c r="K37" s="8">
        <f t="shared" si="4"/>
        <v>300</v>
      </c>
    </row>
    <row r="38" spans="1:11">
      <c r="A38" s="8">
        <f>A37+1</f>
        <v>301</v>
      </c>
      <c r="B38" s="135"/>
      <c r="C38" s="136"/>
      <c r="D38" s="137"/>
      <c r="E38" s="137"/>
      <c r="F38" s="128"/>
      <c r="G38" s="137"/>
      <c r="H38" s="137"/>
      <c r="K38" s="8">
        <f t="shared" si="4"/>
        <v>301</v>
      </c>
    </row>
    <row r="39" spans="1:11">
      <c r="A39" s="8">
        <f t="shared" ref="A39:A42" si="5">A38+1</f>
        <v>302</v>
      </c>
      <c r="B39" s="135"/>
      <c r="C39" s="136"/>
      <c r="D39" s="137"/>
      <c r="E39" s="137"/>
      <c r="F39" s="128"/>
      <c r="G39" s="137"/>
      <c r="H39" s="137"/>
      <c r="K39" s="8">
        <f t="shared" si="4"/>
        <v>302</v>
      </c>
    </row>
    <row r="40" spans="1:11">
      <c r="A40" s="8">
        <f t="shared" si="5"/>
        <v>303</v>
      </c>
      <c r="B40" s="139"/>
      <c r="C40" s="136"/>
      <c r="D40" s="137"/>
      <c r="E40" s="137"/>
      <c r="F40" s="128"/>
      <c r="G40" s="137"/>
      <c r="H40" s="137"/>
      <c r="K40" s="8">
        <f t="shared" si="4"/>
        <v>303</v>
      </c>
    </row>
    <row r="41" spans="1:11">
      <c r="A41" s="8">
        <f t="shared" si="5"/>
        <v>304</v>
      </c>
      <c r="B41" s="140" t="s">
        <v>634</v>
      </c>
      <c r="C41" s="141"/>
      <c r="D41" s="141"/>
      <c r="E41" s="141"/>
      <c r="F41" s="141"/>
      <c r="G41" s="141"/>
      <c r="H41" s="141"/>
      <c r="I41" s="142"/>
      <c r="K41" s="8">
        <f t="shared" si="4"/>
        <v>304</v>
      </c>
    </row>
    <row r="42" spans="1:11">
      <c r="A42" s="8">
        <f t="shared" si="5"/>
        <v>305</v>
      </c>
      <c r="D42" s="132" t="s">
        <v>635</v>
      </c>
      <c r="E42" s="123">
        <f>SUM(E37:E41)*1000</f>
        <v>0</v>
      </c>
      <c r="F42" s="123"/>
      <c r="G42" s="123">
        <f>SUM(G37:G41)*1000</f>
        <v>0</v>
      </c>
      <c r="K42" s="8">
        <f t="shared" si="4"/>
        <v>305</v>
      </c>
    </row>
    <row r="44" spans="1:11">
      <c r="B44" s="16" t="s">
        <v>306</v>
      </c>
    </row>
    <row r="45" spans="1:11">
      <c r="B45" t="s">
        <v>636</v>
      </c>
    </row>
    <row r="46" spans="1:11">
      <c r="B46" t="s">
        <v>637</v>
      </c>
    </row>
    <row r="47" spans="1:11">
      <c r="B47" s="143" t="s">
        <v>638</v>
      </c>
    </row>
    <row r="144" spans="11:11">
      <c r="K144" t="e">
        <f>E30/E144*E151</f>
        <v>#VALUE!</v>
      </c>
    </row>
    <row r="160" spans="10:10">
      <c r="J160">
        <f>E160-D160</f>
        <v>0</v>
      </c>
    </row>
  </sheetData>
  <printOptions horizontalCentered="1"/>
  <pageMargins left="1" right="1" top="1" bottom="1" header="0.5" footer="0.5"/>
  <pageSetup scale="70"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160"/>
  <sheetViews>
    <sheetView tabSelected="1" view="pageBreakPreview" topLeftCell="B4" zoomScaleSheetLayoutView="100" zoomScalePageLayoutView="70" workbookViewId="0">
      <selection activeCell="E174" sqref="E174"/>
    </sheetView>
  </sheetViews>
  <sheetFormatPr defaultColWidth="9.1796875" defaultRowHeight="14.5"/>
  <cols>
    <col min="1" max="1" width="5.453125" customWidth="1"/>
    <col min="2" max="2" width="14.54296875" style="17" customWidth="1"/>
    <col min="3" max="3" width="50.7265625" style="17" bestFit="1" customWidth="1"/>
    <col min="4" max="4" width="18.453125" style="17" customWidth="1"/>
    <col min="5" max="5" width="19.453125" style="17" bestFit="1" customWidth="1"/>
    <col min="6" max="6" width="15.54296875" style="17" customWidth="1"/>
    <col min="7" max="7" width="20" style="17" customWidth="1"/>
    <col min="8" max="8" width="35.54296875" style="17" customWidth="1"/>
    <col min="9" max="9" width="20" customWidth="1"/>
    <col min="10" max="10" width="13.453125" customWidth="1"/>
    <col min="11" max="11" width="25.1796875" customWidth="1"/>
    <col min="12" max="12" width="9.1796875" customWidth="1"/>
  </cols>
  <sheetData>
    <row r="1" spans="1:11">
      <c r="B1" s="144" t="s">
        <v>24</v>
      </c>
      <c r="E1" s="145"/>
      <c r="G1" s="44"/>
      <c r="H1" s="15"/>
      <c r="I1" s="15" t="str">
        <f>CONCATENATE("Prior Year: ",'1-BaseTRR'!$G$2)</f>
        <v>Prior Year: 2021</v>
      </c>
    </row>
    <row r="2" spans="1:11">
      <c r="B2" s="119" t="s">
        <v>131</v>
      </c>
      <c r="C2" s="119"/>
      <c r="G2" s="44"/>
      <c r="H2" s="44"/>
      <c r="I2" s="15"/>
    </row>
    <row r="4" spans="1:11">
      <c r="B4" s="120" t="s">
        <v>639</v>
      </c>
      <c r="C4" s="146"/>
      <c r="D4" s="146"/>
      <c r="E4" s="147"/>
      <c r="F4" s="147"/>
      <c r="G4" s="147"/>
      <c r="H4" s="147"/>
      <c r="I4" s="146"/>
    </row>
    <row r="5" spans="1:11">
      <c r="B5" t="s">
        <v>640</v>
      </c>
      <c r="C5"/>
      <c r="D5"/>
      <c r="E5"/>
      <c r="F5"/>
      <c r="G5"/>
      <c r="H5"/>
    </row>
    <row r="6" spans="1:11">
      <c r="B6" t="s">
        <v>641</v>
      </c>
      <c r="C6"/>
      <c r="D6"/>
      <c r="E6"/>
      <c r="F6"/>
      <c r="G6"/>
      <c r="H6"/>
    </row>
    <row r="7" spans="1:11">
      <c r="B7" t="s">
        <v>642</v>
      </c>
      <c r="C7"/>
      <c r="D7"/>
      <c r="E7"/>
      <c r="F7"/>
      <c r="G7"/>
      <c r="H7"/>
    </row>
    <row r="8" spans="1:11">
      <c r="B8"/>
      <c r="C8"/>
      <c r="D8"/>
      <c r="E8"/>
      <c r="F8"/>
      <c r="G8"/>
      <c r="H8"/>
    </row>
    <row r="9" spans="1:11">
      <c r="D9" s="124" t="s">
        <v>371</v>
      </c>
      <c r="E9" s="124" t="s">
        <v>372</v>
      </c>
      <c r="F9" s="124" t="s">
        <v>373</v>
      </c>
      <c r="G9" s="124" t="s">
        <v>374</v>
      </c>
      <c r="H9" s="124" t="s">
        <v>375</v>
      </c>
      <c r="I9" s="124" t="s">
        <v>376</v>
      </c>
    </row>
    <row r="10" spans="1:11">
      <c r="A10" s="148"/>
      <c r="B10" s="148"/>
      <c r="C10" s="148"/>
      <c r="D10" s="148"/>
      <c r="E10" s="148"/>
      <c r="F10" s="148" t="s">
        <v>111</v>
      </c>
      <c r="G10" s="148"/>
      <c r="H10" s="148"/>
      <c r="I10" s="148" t="s">
        <v>643</v>
      </c>
      <c r="J10" s="148"/>
    </row>
    <row r="11" spans="1:11">
      <c r="A11" s="148"/>
      <c r="B11" s="148"/>
      <c r="C11" s="148"/>
      <c r="D11" s="148"/>
      <c r="E11" s="148"/>
      <c r="F11" s="148"/>
      <c r="G11" s="148"/>
      <c r="H11" s="148"/>
      <c r="I11" s="148"/>
      <c r="J11" s="148"/>
    </row>
    <row r="12" spans="1:11">
      <c r="B12" s="144"/>
      <c r="C12" s="144"/>
      <c r="D12" s="133" t="s">
        <v>644</v>
      </c>
      <c r="E12" s="133"/>
      <c r="F12" s="133"/>
      <c r="G12" s="125" t="s">
        <v>645</v>
      </c>
      <c r="H12" s="125"/>
      <c r="I12" s="125" t="s">
        <v>646</v>
      </c>
    </row>
    <row r="13" spans="1:11">
      <c r="A13" s="121" t="s">
        <v>100</v>
      </c>
      <c r="B13" s="121" t="s">
        <v>647</v>
      </c>
      <c r="C13" s="121" t="s">
        <v>648</v>
      </c>
      <c r="D13" s="121" t="s">
        <v>138</v>
      </c>
      <c r="E13" s="121" t="s">
        <v>649</v>
      </c>
      <c r="F13" s="121" t="s">
        <v>650</v>
      </c>
      <c r="G13" s="121" t="s">
        <v>138</v>
      </c>
      <c r="H13" s="121" t="s">
        <v>651</v>
      </c>
      <c r="I13" s="121" t="s">
        <v>138</v>
      </c>
      <c r="J13" s="121" t="str">
        <f t="shared" ref="J13:J24" si="0">A13</f>
        <v>Line</v>
      </c>
    </row>
    <row r="14" spans="1:11">
      <c r="A14" s="133">
        <v>100</v>
      </c>
      <c r="B14" s="27">
        <v>350</v>
      </c>
      <c r="C14" s="2" t="s">
        <v>652</v>
      </c>
      <c r="D14" s="467">
        <v>306304672</v>
      </c>
      <c r="E14" s="149" t="s">
        <v>653</v>
      </c>
      <c r="F14" s="467"/>
      <c r="G14" s="469">
        <f>'7-PlantInService'!D24+'7-PlantInService'!E24</f>
        <v>291789312</v>
      </c>
      <c r="H14" s="150" t="s">
        <v>654</v>
      </c>
      <c r="I14" s="469">
        <f>+D14+F14-G14</f>
        <v>14515360</v>
      </c>
      <c r="J14" s="133">
        <f t="shared" si="0"/>
        <v>100</v>
      </c>
    </row>
    <row r="15" spans="1:11">
      <c r="A15" s="133">
        <f t="shared" ref="A15:A24" si="1">A14+1</f>
        <v>101</v>
      </c>
      <c r="B15" s="27">
        <v>352</v>
      </c>
      <c r="C15" s="2" t="s">
        <v>655</v>
      </c>
      <c r="D15" s="467">
        <v>480279516</v>
      </c>
      <c r="E15" s="149" t="s">
        <v>656</v>
      </c>
      <c r="F15" s="467"/>
      <c r="G15" s="469">
        <f>'7-PlantInService'!F24+'7-PlantInService'!G24</f>
        <v>471368032</v>
      </c>
      <c r="H15" s="150" t="s">
        <v>657</v>
      </c>
      <c r="I15" s="469">
        <f t="shared" ref="I15:I23" si="2">+D15+F15-G15</f>
        <v>8911484</v>
      </c>
      <c r="J15" s="133">
        <f t="shared" si="0"/>
        <v>101</v>
      </c>
      <c r="K15" s="151"/>
    </row>
    <row r="16" spans="1:11">
      <c r="A16" s="133">
        <f t="shared" si="1"/>
        <v>102</v>
      </c>
      <c r="B16" s="27">
        <v>353</v>
      </c>
      <c r="C16" s="2" t="s">
        <v>658</v>
      </c>
      <c r="D16" s="467">
        <v>7941731063</v>
      </c>
      <c r="E16" s="149" t="s">
        <v>659</v>
      </c>
      <c r="F16" s="467">
        <v>-491897.41999831999</v>
      </c>
      <c r="G16" s="469">
        <f>'7-PlantInService'!H24+'7-PlantInService'!I24</f>
        <v>7565320520</v>
      </c>
      <c r="H16" s="150" t="s">
        <v>660</v>
      </c>
      <c r="I16" s="469">
        <f t="shared" si="2"/>
        <v>375918645.58000183</v>
      </c>
      <c r="J16" s="133">
        <f t="shared" si="0"/>
        <v>102</v>
      </c>
      <c r="K16" s="17"/>
    </row>
    <row r="17" spans="1:12">
      <c r="A17" s="133">
        <f t="shared" si="1"/>
        <v>103</v>
      </c>
      <c r="B17" s="152">
        <v>354</v>
      </c>
      <c r="C17" s="3" t="s">
        <v>661</v>
      </c>
      <c r="D17" s="468">
        <v>1139403202</v>
      </c>
      <c r="E17" s="149" t="s">
        <v>662</v>
      </c>
      <c r="F17" s="468">
        <v>392131.50000083447</v>
      </c>
      <c r="G17" s="469">
        <f>'7-PlantInService'!J24</f>
        <v>1040283564</v>
      </c>
      <c r="H17" s="150" t="s">
        <v>663</v>
      </c>
      <c r="I17" s="469">
        <f t="shared" si="2"/>
        <v>99511769.500000954</v>
      </c>
      <c r="J17" s="133">
        <f t="shared" si="0"/>
        <v>103</v>
      </c>
    </row>
    <row r="18" spans="1:12">
      <c r="A18" s="133">
        <f t="shared" si="1"/>
        <v>104</v>
      </c>
      <c r="B18" s="27">
        <v>355</v>
      </c>
      <c r="C18" s="2" t="s">
        <v>664</v>
      </c>
      <c r="D18" s="468">
        <v>2265811316</v>
      </c>
      <c r="E18" s="149" t="s">
        <v>665</v>
      </c>
      <c r="F18" s="468">
        <v>-145143.87999773026</v>
      </c>
      <c r="G18" s="469">
        <f>'7-PlantInService'!K24</f>
        <v>2159592516</v>
      </c>
      <c r="H18" s="150" t="s">
        <v>666</v>
      </c>
      <c r="I18" s="469">
        <f t="shared" si="2"/>
        <v>106073656.12000227</v>
      </c>
      <c r="J18" s="133">
        <f t="shared" si="0"/>
        <v>104</v>
      </c>
    </row>
    <row r="19" spans="1:12">
      <c r="A19" s="133">
        <f t="shared" si="1"/>
        <v>105</v>
      </c>
      <c r="B19" s="27">
        <v>356</v>
      </c>
      <c r="C19" s="2" t="s">
        <v>667</v>
      </c>
      <c r="D19" s="468">
        <v>2484108453</v>
      </c>
      <c r="E19" s="149" t="s">
        <v>668</v>
      </c>
      <c r="F19" s="468">
        <v>-292996.98001146317</v>
      </c>
      <c r="G19" s="469">
        <f>'7-PlantInService'!L24</f>
        <v>2346203987</v>
      </c>
      <c r="H19" s="150" t="s">
        <v>669</v>
      </c>
      <c r="I19" s="469">
        <f t="shared" si="2"/>
        <v>137611469.01998854</v>
      </c>
      <c r="J19" s="133">
        <f t="shared" si="0"/>
        <v>105</v>
      </c>
    </row>
    <row r="20" spans="1:12">
      <c r="A20" s="133">
        <f t="shared" si="1"/>
        <v>106</v>
      </c>
      <c r="B20" s="27">
        <v>357</v>
      </c>
      <c r="C20" s="2" t="s">
        <v>670</v>
      </c>
      <c r="D20" s="468">
        <v>522810983</v>
      </c>
      <c r="E20" s="149" t="s">
        <v>671</v>
      </c>
      <c r="F20" s="468"/>
      <c r="G20" s="469">
        <f>'7-PlantInService'!M24</f>
        <v>518614161</v>
      </c>
      <c r="H20" s="150" t="s">
        <v>672</v>
      </c>
      <c r="I20" s="469">
        <f t="shared" si="2"/>
        <v>4196822</v>
      </c>
      <c r="J20" s="133">
        <f t="shared" si="0"/>
        <v>106</v>
      </c>
      <c r="K20" s="17"/>
    </row>
    <row r="21" spans="1:12">
      <c r="A21" s="133">
        <f t="shared" si="1"/>
        <v>107</v>
      </c>
      <c r="B21" s="27">
        <v>358</v>
      </c>
      <c r="C21" s="2" t="s">
        <v>673</v>
      </c>
      <c r="D21" s="468">
        <v>289024727</v>
      </c>
      <c r="E21" s="149" t="s">
        <v>674</v>
      </c>
      <c r="F21" s="468"/>
      <c r="G21" s="469">
        <f>'7-PlantInService'!N24</f>
        <v>281575116</v>
      </c>
      <c r="H21" s="150" t="s">
        <v>675</v>
      </c>
      <c r="I21" s="469">
        <f t="shared" si="2"/>
        <v>7449611</v>
      </c>
      <c r="J21" s="133">
        <f t="shared" si="0"/>
        <v>107</v>
      </c>
    </row>
    <row r="22" spans="1:12">
      <c r="A22" s="133">
        <f t="shared" si="1"/>
        <v>108</v>
      </c>
      <c r="B22" s="27">
        <v>359</v>
      </c>
      <c r="C22" s="2" t="s">
        <v>676</v>
      </c>
      <c r="D22" s="468">
        <v>173667104</v>
      </c>
      <c r="E22" s="149" t="s">
        <v>677</v>
      </c>
      <c r="F22" s="468"/>
      <c r="G22" s="469">
        <f>'7-PlantInService'!O24</f>
        <v>164958388</v>
      </c>
      <c r="H22" s="150" t="s">
        <v>678</v>
      </c>
      <c r="I22" s="469">
        <f t="shared" si="2"/>
        <v>8708716</v>
      </c>
      <c r="J22" s="133">
        <f t="shared" si="0"/>
        <v>108</v>
      </c>
    </row>
    <row r="23" spans="1:12">
      <c r="A23" s="133">
        <f t="shared" si="1"/>
        <v>109</v>
      </c>
      <c r="B23" s="27">
        <v>359.1</v>
      </c>
      <c r="C23" s="2" t="s">
        <v>679</v>
      </c>
      <c r="D23" s="468">
        <v>6276009</v>
      </c>
      <c r="E23" s="149" t="s">
        <v>680</v>
      </c>
      <c r="F23" s="468">
        <v>-6276009</v>
      </c>
      <c r="G23" s="469">
        <v>0</v>
      </c>
      <c r="H23" s="150" t="s">
        <v>203</v>
      </c>
      <c r="I23" s="469">
        <f t="shared" si="2"/>
        <v>0</v>
      </c>
      <c r="J23" s="133">
        <f t="shared" si="0"/>
        <v>109</v>
      </c>
    </row>
    <row r="24" spans="1:12">
      <c r="A24" s="133">
        <f t="shared" si="1"/>
        <v>110</v>
      </c>
      <c r="B24" s="416"/>
      <c r="C24" s="543" t="s">
        <v>681</v>
      </c>
      <c r="D24" s="544">
        <f>SUM(D14:D23)</f>
        <v>15609417045</v>
      </c>
      <c r="E24" s="545"/>
      <c r="F24" s="544">
        <f>SUM(F14:F23)</f>
        <v>-6813915.7800066788</v>
      </c>
      <c r="G24" s="544">
        <f>SUM(G14:G23)</f>
        <v>14839705596</v>
      </c>
      <c r="H24" s="545"/>
      <c r="I24" s="544">
        <f>SUM(I14:I23)</f>
        <v>762897533.21999359</v>
      </c>
      <c r="J24" s="133">
        <f t="shared" si="0"/>
        <v>110</v>
      </c>
    </row>
    <row r="25" spans="1:12">
      <c r="A25" s="142"/>
      <c r="B25" s="142"/>
      <c r="C25" s="142"/>
      <c r="D25" s="148"/>
      <c r="E25" s="142"/>
      <c r="F25" s="142"/>
      <c r="G25" s="148"/>
      <c r="H25" s="142"/>
      <c r="I25" s="142"/>
      <c r="J25" s="142"/>
      <c r="K25" s="142"/>
      <c r="L25" s="142"/>
    </row>
    <row r="26" spans="1:12">
      <c r="B26" s="16" t="s">
        <v>306</v>
      </c>
    </row>
    <row r="27" spans="1:12">
      <c r="B27" s="415" t="s">
        <v>682</v>
      </c>
      <c r="C27" s="119"/>
      <c r="D27" s="119"/>
      <c r="E27" s="119"/>
      <c r="F27" s="119"/>
      <c r="G27" s="119"/>
      <c r="H27" s="119"/>
    </row>
    <row r="28" spans="1:12" ht="15" customHeight="1">
      <c r="B28" s="415" t="s">
        <v>683</v>
      </c>
      <c r="C28" s="415"/>
      <c r="D28" s="415"/>
      <c r="E28" s="415"/>
      <c r="F28" s="415"/>
      <c r="G28" s="415"/>
      <c r="H28" s="415"/>
    </row>
    <row r="29" spans="1:12">
      <c r="B29" s="415" t="s">
        <v>684</v>
      </c>
      <c r="C29" s="415"/>
      <c r="D29" s="415"/>
      <c r="E29" s="415"/>
      <c r="F29" s="415"/>
      <c r="G29" s="415"/>
      <c r="H29" s="415"/>
    </row>
    <row r="30" spans="1:12" ht="15" customHeight="1">
      <c r="A30" s="18"/>
      <c r="B30"/>
      <c r="C30"/>
      <c r="D30"/>
      <c r="E30"/>
      <c r="F30"/>
      <c r="G30"/>
      <c r="H30"/>
    </row>
    <row r="144" spans="11:11">
      <c r="K144" t="e">
        <f>E30/E144*E151</f>
        <v>#DIV/0!</v>
      </c>
    </row>
    <row r="160" spans="10:10">
      <c r="J160">
        <f>E160-D160</f>
        <v>0</v>
      </c>
    </row>
  </sheetData>
  <printOptions horizontalCentered="1"/>
  <pageMargins left="1" right="1" top="1" bottom="1" header="0.5" footer="0.5"/>
  <pageSetup scale="54"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160"/>
  <sheetViews>
    <sheetView tabSelected="1" view="pageBreakPreview" topLeftCell="A57" zoomScaleNormal="90" zoomScaleSheetLayoutView="100" zoomScalePageLayoutView="70" workbookViewId="0">
      <selection activeCell="E174" sqref="E174"/>
    </sheetView>
  </sheetViews>
  <sheetFormatPr defaultColWidth="8.81640625" defaultRowHeight="14.5"/>
  <cols>
    <col min="1" max="1" width="6.81640625" style="30" bestFit="1" customWidth="1"/>
    <col min="2" max="2" width="14" customWidth="1"/>
    <col min="3" max="3" width="14.453125" customWidth="1"/>
    <col min="4" max="4" width="21.54296875" bestFit="1" customWidth="1"/>
    <col min="5" max="5" width="17.54296875" customWidth="1"/>
    <col min="6" max="6" width="15.81640625" customWidth="1"/>
    <col min="7" max="8" width="17.81640625" customWidth="1"/>
    <col min="9" max="9" width="13.54296875" customWidth="1"/>
    <col min="10" max="10" width="13.453125" customWidth="1"/>
    <col min="11" max="11" width="25.1796875" customWidth="1"/>
    <col min="12" max="12" width="17.26953125" customWidth="1"/>
    <col min="13" max="15" width="15.453125" customWidth="1"/>
    <col min="16" max="16" width="19" bestFit="1" customWidth="1"/>
    <col min="17" max="17" width="20.54296875" customWidth="1"/>
    <col min="18" max="18" width="6.26953125" style="30" customWidth="1"/>
    <col min="19" max="19" width="8.81640625" customWidth="1"/>
  </cols>
  <sheetData>
    <row r="1" spans="1:18">
      <c r="B1" s="12" t="s">
        <v>26</v>
      </c>
      <c r="C1" s="12"/>
      <c r="F1" s="145"/>
      <c r="J1" s="17"/>
      <c r="O1" s="8"/>
      <c r="P1" s="15" t="str">
        <f>CONCATENATE("Prior Year: ",'1-BaseTRR'!$G$2)</f>
        <v>Prior Year: 2021</v>
      </c>
      <c r="Q1" s="8"/>
    </row>
    <row r="2" spans="1:18">
      <c r="B2" s="119" t="s">
        <v>131</v>
      </c>
      <c r="C2" s="50"/>
      <c r="J2" s="17"/>
      <c r="O2" s="15"/>
      <c r="P2" s="8"/>
      <c r="Q2" s="8"/>
    </row>
    <row r="3" spans="1:18">
      <c r="A3" s="121"/>
      <c r="B3" s="144"/>
      <c r="R3" s="121"/>
    </row>
    <row r="4" spans="1:18">
      <c r="B4" s="58" t="s">
        <v>685</v>
      </c>
      <c r="C4" s="58"/>
      <c r="D4" s="55"/>
      <c r="E4" s="55"/>
      <c r="F4" s="55"/>
      <c r="G4" s="55"/>
      <c r="H4" s="55"/>
      <c r="I4" s="55"/>
      <c r="J4" s="55"/>
      <c r="K4" s="55"/>
      <c r="L4" s="55"/>
      <c r="M4" s="55"/>
      <c r="N4" s="55"/>
      <c r="O4" s="55"/>
      <c r="P4" s="55"/>
      <c r="Q4" s="55"/>
    </row>
    <row r="5" spans="1:18">
      <c r="A5" s="8"/>
      <c r="B5" s="153" t="s">
        <v>686</v>
      </c>
      <c r="C5" s="17"/>
      <c r="I5" s="17"/>
      <c r="J5" s="30"/>
      <c r="K5" s="154"/>
    </row>
    <row r="6" spans="1:18">
      <c r="A6" s="8"/>
      <c r="B6" s="17"/>
      <c r="C6" s="17"/>
      <c r="I6" s="17"/>
      <c r="J6" s="30"/>
      <c r="K6" s="154"/>
    </row>
    <row r="7" spans="1:18">
      <c r="A7" s="8"/>
      <c r="D7" s="124" t="s">
        <v>371</v>
      </c>
      <c r="E7" s="124" t="s">
        <v>372</v>
      </c>
      <c r="F7" s="124" t="s">
        <v>373</v>
      </c>
      <c r="G7" s="124" t="s">
        <v>374</v>
      </c>
      <c r="H7" s="124" t="s">
        <v>375</v>
      </c>
      <c r="I7" s="124" t="s">
        <v>376</v>
      </c>
      <c r="J7" s="124" t="s">
        <v>377</v>
      </c>
      <c r="K7" s="124" t="s">
        <v>378</v>
      </c>
      <c r="L7" s="124" t="s">
        <v>409</v>
      </c>
      <c r="M7" s="124" t="s">
        <v>525</v>
      </c>
      <c r="N7" s="124" t="s">
        <v>526</v>
      </c>
      <c r="O7" s="124" t="s">
        <v>527</v>
      </c>
      <c r="P7" s="124" t="s">
        <v>528</v>
      </c>
      <c r="Q7" s="124"/>
    </row>
    <row r="8" spans="1:18" ht="29">
      <c r="B8" s="8"/>
      <c r="C8" s="8"/>
      <c r="D8" s="155" t="s">
        <v>687</v>
      </c>
      <c r="E8" s="155" t="s">
        <v>687</v>
      </c>
      <c r="F8" s="155" t="s">
        <v>687</v>
      </c>
      <c r="G8" s="155" t="s">
        <v>687</v>
      </c>
      <c r="H8" s="155" t="s">
        <v>687</v>
      </c>
      <c r="I8" s="155" t="s">
        <v>687</v>
      </c>
      <c r="J8" s="155" t="s">
        <v>687</v>
      </c>
      <c r="K8" s="155" t="s">
        <v>687</v>
      </c>
      <c r="L8" s="155" t="s">
        <v>687</v>
      </c>
      <c r="M8" s="155" t="s">
        <v>687</v>
      </c>
      <c r="N8" s="155" t="s">
        <v>687</v>
      </c>
      <c r="O8" s="155" t="s">
        <v>687</v>
      </c>
      <c r="P8" s="156" t="s">
        <v>688</v>
      </c>
      <c r="Q8" s="5"/>
    </row>
    <row r="9" spans="1:18">
      <c r="B9" s="8"/>
      <c r="C9" s="8"/>
      <c r="H9" s="157"/>
      <c r="N9" s="30"/>
      <c r="P9" s="30"/>
      <c r="Q9" s="30"/>
    </row>
    <row r="10" spans="1:18">
      <c r="C10" s="132" t="s">
        <v>689</v>
      </c>
      <c r="D10" s="125">
        <v>350.01</v>
      </c>
      <c r="E10" s="125">
        <v>350.02</v>
      </c>
      <c r="F10" s="125">
        <v>352.01</v>
      </c>
      <c r="G10" s="125">
        <v>352.02</v>
      </c>
      <c r="H10" s="125">
        <v>353.01</v>
      </c>
      <c r="I10" s="125">
        <v>353.02</v>
      </c>
      <c r="J10" s="125">
        <v>354</v>
      </c>
      <c r="K10" s="125">
        <v>355</v>
      </c>
      <c r="L10" s="125">
        <v>356</v>
      </c>
      <c r="M10" s="125">
        <v>357</v>
      </c>
      <c r="N10" s="125">
        <v>358</v>
      </c>
      <c r="O10" s="125">
        <v>359</v>
      </c>
    </row>
    <row r="11" spans="1:18">
      <c r="A11" s="121" t="s">
        <v>100</v>
      </c>
      <c r="B11" s="121" t="s">
        <v>384</v>
      </c>
      <c r="C11" s="121" t="s">
        <v>420</v>
      </c>
      <c r="D11" s="124" t="s">
        <v>690</v>
      </c>
      <c r="E11" s="124" t="s">
        <v>691</v>
      </c>
      <c r="F11" s="124" t="s">
        <v>692</v>
      </c>
      <c r="G11" s="124" t="s">
        <v>693</v>
      </c>
      <c r="H11" s="124" t="s">
        <v>694</v>
      </c>
      <c r="I11" s="124" t="s">
        <v>695</v>
      </c>
      <c r="J11" s="124" t="s">
        <v>696</v>
      </c>
      <c r="K11" s="124" t="s">
        <v>697</v>
      </c>
      <c r="L11" s="124" t="s">
        <v>698</v>
      </c>
      <c r="M11" s="124" t="s">
        <v>699</v>
      </c>
      <c r="N11" s="124" t="s">
        <v>700</v>
      </c>
      <c r="O11" s="124" t="s">
        <v>701</v>
      </c>
      <c r="P11" s="121" t="s">
        <v>465</v>
      </c>
      <c r="Q11" s="121" t="s">
        <v>135</v>
      </c>
      <c r="R11" s="121" t="str">
        <f>A11</f>
        <v>Line</v>
      </c>
    </row>
    <row r="12" spans="1:18">
      <c r="A12" s="133">
        <v>100</v>
      </c>
      <c r="B12" s="153" t="s">
        <v>428</v>
      </c>
      <c r="C12" s="158">
        <f>'1-BaseTRR'!$G$2-1</f>
        <v>2020</v>
      </c>
      <c r="D12" s="200">
        <f t="shared" ref="D12:O24" si="0">+D37+D62</f>
        <v>63231180</v>
      </c>
      <c r="E12" s="200">
        <f t="shared" si="0"/>
        <v>205845529</v>
      </c>
      <c r="F12" s="200">
        <f t="shared" si="0"/>
        <v>366119917</v>
      </c>
      <c r="G12" s="200">
        <f t="shared" si="0"/>
        <v>109131456</v>
      </c>
      <c r="H12" s="200">
        <f t="shared" si="0"/>
        <v>7204638732</v>
      </c>
      <c r="I12" s="200">
        <f t="shared" si="0"/>
        <v>35969891</v>
      </c>
      <c r="J12" s="200">
        <f t="shared" si="0"/>
        <v>941463911</v>
      </c>
      <c r="K12" s="200">
        <f t="shared" si="0"/>
        <v>1864869522</v>
      </c>
      <c r="L12" s="200">
        <f t="shared" si="0"/>
        <v>2062518476</v>
      </c>
      <c r="M12" s="200">
        <f t="shared" si="0"/>
        <v>512216183</v>
      </c>
      <c r="N12" s="200">
        <f t="shared" si="0"/>
        <v>281270291</v>
      </c>
      <c r="O12" s="200">
        <f t="shared" si="0"/>
        <v>125139860</v>
      </c>
      <c r="P12" s="33">
        <f>SUM(D12:O12)</f>
        <v>13772414948</v>
      </c>
      <c r="Q12" s="160" t="str">
        <f>"Line "&amp;A37&amp;" + Line "&amp;A62&amp;""</f>
        <v>Line 200 + Line 300</v>
      </c>
      <c r="R12" s="133">
        <f>A12</f>
        <v>100</v>
      </c>
    </row>
    <row r="13" spans="1:18">
      <c r="A13" s="133">
        <f>A12+1</f>
        <v>101</v>
      </c>
      <c r="B13" s="153" t="s">
        <v>430</v>
      </c>
      <c r="C13" s="158">
        <f>'1-BaseTRR'!$G$2</f>
        <v>2021</v>
      </c>
      <c r="D13" s="200">
        <f t="shared" si="0"/>
        <v>81082210</v>
      </c>
      <c r="E13" s="200">
        <f t="shared" si="0"/>
        <v>206091728</v>
      </c>
      <c r="F13" s="200">
        <f t="shared" si="0"/>
        <v>365924206</v>
      </c>
      <c r="G13" s="200">
        <f t="shared" si="0"/>
        <v>109197965</v>
      </c>
      <c r="H13" s="200">
        <f t="shared" si="0"/>
        <v>7206925588</v>
      </c>
      <c r="I13" s="200">
        <f t="shared" si="0"/>
        <v>35969921</v>
      </c>
      <c r="J13" s="200">
        <f t="shared" si="0"/>
        <v>948326282</v>
      </c>
      <c r="K13" s="200">
        <f t="shared" si="0"/>
        <v>1889644927</v>
      </c>
      <c r="L13" s="200">
        <f t="shared" si="0"/>
        <v>2089203871</v>
      </c>
      <c r="M13" s="200">
        <f t="shared" si="0"/>
        <v>511780794</v>
      </c>
      <c r="N13" s="200">
        <f t="shared" si="0"/>
        <v>281267655</v>
      </c>
      <c r="O13" s="200">
        <f t="shared" si="0"/>
        <v>140052847</v>
      </c>
      <c r="P13" s="33">
        <f t="shared" ref="P13:P24" si="1">SUM(D13:O13)</f>
        <v>13865467994</v>
      </c>
      <c r="Q13" s="160" t="str">
        <f t="shared" ref="Q13:Q24" si="2">"Line "&amp;A38&amp;" + Line "&amp;A63&amp;""</f>
        <v>Line 201 + Line 301</v>
      </c>
      <c r="R13" s="133">
        <f t="shared" ref="R13:R25" si="3">A13</f>
        <v>101</v>
      </c>
    </row>
    <row r="14" spans="1:18">
      <c r="A14" s="133">
        <f t="shared" ref="A14:A25" si="4">A13+1</f>
        <v>102</v>
      </c>
      <c r="B14" s="153" t="s">
        <v>431</v>
      </c>
      <c r="C14" s="158">
        <f>'1-BaseTRR'!$G$2</f>
        <v>2021</v>
      </c>
      <c r="D14" s="200">
        <f t="shared" si="0"/>
        <v>81091166</v>
      </c>
      <c r="E14" s="200">
        <f t="shared" si="0"/>
        <v>206086007</v>
      </c>
      <c r="F14" s="200">
        <f t="shared" si="0"/>
        <v>365470220</v>
      </c>
      <c r="G14" s="200">
        <f t="shared" si="0"/>
        <v>109213427</v>
      </c>
      <c r="H14" s="200">
        <f t="shared" si="0"/>
        <v>7247377643</v>
      </c>
      <c r="I14" s="200">
        <f t="shared" si="0"/>
        <v>35969919</v>
      </c>
      <c r="J14" s="200">
        <f t="shared" si="0"/>
        <v>955735508</v>
      </c>
      <c r="K14" s="200">
        <f t="shared" si="0"/>
        <v>1901396960</v>
      </c>
      <c r="L14" s="200">
        <f t="shared" si="0"/>
        <v>2108502343</v>
      </c>
      <c r="M14" s="200">
        <f t="shared" si="0"/>
        <v>511782793</v>
      </c>
      <c r="N14" s="200">
        <f t="shared" si="0"/>
        <v>281517440</v>
      </c>
      <c r="O14" s="200">
        <f t="shared" si="0"/>
        <v>140856671</v>
      </c>
      <c r="P14" s="33">
        <f t="shared" si="1"/>
        <v>13945000097</v>
      </c>
      <c r="Q14" s="160" t="str">
        <f t="shared" si="2"/>
        <v>Line 202 + Line 302</v>
      </c>
      <c r="R14" s="133">
        <f t="shared" si="3"/>
        <v>102</v>
      </c>
    </row>
    <row r="15" spans="1:18">
      <c r="A15" s="133">
        <f t="shared" si="4"/>
        <v>103</v>
      </c>
      <c r="B15" s="153" t="s">
        <v>432</v>
      </c>
      <c r="C15" s="158">
        <f>'1-BaseTRR'!$G$2</f>
        <v>2021</v>
      </c>
      <c r="D15" s="200">
        <f t="shared" si="0"/>
        <v>80990387</v>
      </c>
      <c r="E15" s="200">
        <f t="shared" si="0"/>
        <v>206165369</v>
      </c>
      <c r="F15" s="200">
        <f t="shared" si="0"/>
        <v>364180830</v>
      </c>
      <c r="G15" s="200">
        <f t="shared" si="0"/>
        <v>109229322</v>
      </c>
      <c r="H15" s="200">
        <f t="shared" si="0"/>
        <v>7302628652</v>
      </c>
      <c r="I15" s="200">
        <f t="shared" si="0"/>
        <v>35969924</v>
      </c>
      <c r="J15" s="200">
        <f t="shared" si="0"/>
        <v>960159717</v>
      </c>
      <c r="K15" s="200">
        <f t="shared" si="0"/>
        <v>1922473315</v>
      </c>
      <c r="L15" s="200">
        <f t="shared" si="0"/>
        <v>2136521607</v>
      </c>
      <c r="M15" s="200">
        <f t="shared" si="0"/>
        <v>511867942</v>
      </c>
      <c r="N15" s="200">
        <f t="shared" si="0"/>
        <v>281531345</v>
      </c>
      <c r="O15" s="200">
        <f t="shared" si="0"/>
        <v>156698169</v>
      </c>
      <c r="P15" s="33">
        <f t="shared" si="1"/>
        <v>14068416579</v>
      </c>
      <c r="Q15" s="160" t="str">
        <f t="shared" si="2"/>
        <v>Line 203 + Line 303</v>
      </c>
      <c r="R15" s="133">
        <f t="shared" si="3"/>
        <v>103</v>
      </c>
    </row>
    <row r="16" spans="1:18">
      <c r="A16" s="133">
        <f t="shared" si="4"/>
        <v>104</v>
      </c>
      <c r="B16" s="153" t="s">
        <v>433</v>
      </c>
      <c r="C16" s="158">
        <f>'1-BaseTRR'!$G$2</f>
        <v>2021</v>
      </c>
      <c r="D16" s="200">
        <f t="shared" si="0"/>
        <v>81010943</v>
      </c>
      <c r="E16" s="200">
        <f t="shared" si="0"/>
        <v>216063108</v>
      </c>
      <c r="F16" s="200">
        <f t="shared" si="0"/>
        <v>365085639</v>
      </c>
      <c r="G16" s="200">
        <f t="shared" si="0"/>
        <v>109289057</v>
      </c>
      <c r="H16" s="200">
        <f t="shared" si="0"/>
        <v>7324469479</v>
      </c>
      <c r="I16" s="200">
        <f t="shared" si="0"/>
        <v>35969937</v>
      </c>
      <c r="J16" s="200">
        <f t="shared" si="0"/>
        <v>959599915</v>
      </c>
      <c r="K16" s="200">
        <f t="shared" si="0"/>
        <v>1941811078</v>
      </c>
      <c r="L16" s="200">
        <f t="shared" si="0"/>
        <v>2152171275</v>
      </c>
      <c r="M16" s="200">
        <f t="shared" si="0"/>
        <v>512266724</v>
      </c>
      <c r="N16" s="200">
        <f t="shared" si="0"/>
        <v>281537479</v>
      </c>
      <c r="O16" s="200">
        <f t="shared" si="0"/>
        <v>157076936</v>
      </c>
      <c r="P16" s="33">
        <f t="shared" si="1"/>
        <v>14136351570</v>
      </c>
      <c r="Q16" s="160" t="str">
        <f t="shared" si="2"/>
        <v>Line 204 + Line 304</v>
      </c>
      <c r="R16" s="133">
        <f t="shared" si="3"/>
        <v>104</v>
      </c>
    </row>
    <row r="17" spans="1:19">
      <c r="A17" s="133">
        <f t="shared" si="4"/>
        <v>105</v>
      </c>
      <c r="B17" s="153" t="s">
        <v>395</v>
      </c>
      <c r="C17" s="158">
        <f>'1-BaseTRR'!$G$2</f>
        <v>2021</v>
      </c>
      <c r="D17" s="200">
        <f t="shared" si="0"/>
        <v>81195521</v>
      </c>
      <c r="E17" s="200">
        <f t="shared" si="0"/>
        <v>216318337</v>
      </c>
      <c r="F17" s="200">
        <f t="shared" si="0"/>
        <v>365641897</v>
      </c>
      <c r="G17" s="200">
        <f t="shared" si="0"/>
        <v>109489691</v>
      </c>
      <c r="H17" s="200">
        <f t="shared" si="0"/>
        <v>7369639929</v>
      </c>
      <c r="I17" s="200">
        <f t="shared" si="0"/>
        <v>35969927</v>
      </c>
      <c r="J17" s="200">
        <f t="shared" si="0"/>
        <v>1020088189</v>
      </c>
      <c r="K17" s="200">
        <f t="shared" si="0"/>
        <v>1958221339</v>
      </c>
      <c r="L17" s="200">
        <f t="shared" si="0"/>
        <v>2172650691</v>
      </c>
      <c r="M17" s="200">
        <f t="shared" si="0"/>
        <v>511940071</v>
      </c>
      <c r="N17" s="200">
        <f t="shared" si="0"/>
        <v>281503304</v>
      </c>
      <c r="O17" s="200">
        <f t="shared" si="0"/>
        <v>165548706</v>
      </c>
      <c r="P17" s="33">
        <f t="shared" si="1"/>
        <v>14288207602</v>
      </c>
      <c r="Q17" s="160" t="str">
        <f t="shared" si="2"/>
        <v>Line 205 + Line 305</v>
      </c>
      <c r="R17" s="133">
        <f t="shared" si="3"/>
        <v>105</v>
      </c>
    </row>
    <row r="18" spans="1:19">
      <c r="A18" s="133">
        <f t="shared" si="4"/>
        <v>106</v>
      </c>
      <c r="B18" s="153" t="s">
        <v>531</v>
      </c>
      <c r="C18" s="158">
        <f>'1-BaseTRR'!$G$2</f>
        <v>2021</v>
      </c>
      <c r="D18" s="200">
        <f t="shared" si="0"/>
        <v>81166230</v>
      </c>
      <c r="E18" s="200">
        <f t="shared" si="0"/>
        <v>216331270</v>
      </c>
      <c r="F18" s="200">
        <f t="shared" si="0"/>
        <v>366619347</v>
      </c>
      <c r="G18" s="200">
        <f t="shared" si="0"/>
        <v>111419926</v>
      </c>
      <c r="H18" s="200">
        <f t="shared" si="0"/>
        <v>7403344835</v>
      </c>
      <c r="I18" s="200">
        <f t="shared" si="0"/>
        <v>35969927</v>
      </c>
      <c r="J18" s="200">
        <f t="shared" si="0"/>
        <v>1033121722</v>
      </c>
      <c r="K18" s="200">
        <f t="shared" si="0"/>
        <v>1981926007</v>
      </c>
      <c r="L18" s="200">
        <f t="shared" si="0"/>
        <v>2201114342</v>
      </c>
      <c r="M18" s="200">
        <f t="shared" si="0"/>
        <v>518140626</v>
      </c>
      <c r="N18" s="200">
        <f t="shared" si="0"/>
        <v>281512903</v>
      </c>
      <c r="O18" s="200">
        <f t="shared" si="0"/>
        <v>157927297</v>
      </c>
      <c r="P18" s="33">
        <f t="shared" si="1"/>
        <v>14388594432</v>
      </c>
      <c r="Q18" s="160" t="str">
        <f t="shared" si="2"/>
        <v>Line 206 + Line 306</v>
      </c>
      <c r="R18" s="133">
        <f t="shared" si="3"/>
        <v>106</v>
      </c>
    </row>
    <row r="19" spans="1:19">
      <c r="A19" s="133">
        <f t="shared" si="4"/>
        <v>107</v>
      </c>
      <c r="B19" s="153" t="s">
        <v>435</v>
      </c>
      <c r="C19" s="158">
        <f>'1-BaseTRR'!$G$2</f>
        <v>2021</v>
      </c>
      <c r="D19" s="200">
        <f t="shared" si="0"/>
        <v>81407738</v>
      </c>
      <c r="E19" s="200">
        <f t="shared" si="0"/>
        <v>216533207</v>
      </c>
      <c r="F19" s="200">
        <f t="shared" si="0"/>
        <v>367975674</v>
      </c>
      <c r="G19" s="200">
        <f t="shared" si="0"/>
        <v>111212274</v>
      </c>
      <c r="H19" s="200">
        <f t="shared" si="0"/>
        <v>7411089444</v>
      </c>
      <c r="I19" s="200">
        <f t="shared" si="0"/>
        <v>35977423</v>
      </c>
      <c r="J19" s="200">
        <f t="shared" si="0"/>
        <v>1028087089</v>
      </c>
      <c r="K19" s="200">
        <f t="shared" si="0"/>
        <v>1992875662</v>
      </c>
      <c r="L19" s="200">
        <f t="shared" si="0"/>
        <v>2207639169</v>
      </c>
      <c r="M19" s="200">
        <f t="shared" si="0"/>
        <v>518157542</v>
      </c>
      <c r="N19" s="200">
        <f t="shared" si="0"/>
        <v>281545049</v>
      </c>
      <c r="O19" s="200">
        <f t="shared" si="0"/>
        <v>158268847</v>
      </c>
      <c r="P19" s="33">
        <f t="shared" si="1"/>
        <v>14410769118</v>
      </c>
      <c r="Q19" s="160" t="str">
        <f t="shared" si="2"/>
        <v>Line 207 + Line 307</v>
      </c>
      <c r="R19" s="133">
        <f t="shared" si="3"/>
        <v>107</v>
      </c>
    </row>
    <row r="20" spans="1:19">
      <c r="A20" s="133">
        <f t="shared" si="4"/>
        <v>108</v>
      </c>
      <c r="B20" s="153" t="s">
        <v>436</v>
      </c>
      <c r="C20" s="158">
        <f>'1-BaseTRR'!$G$2</f>
        <v>2021</v>
      </c>
      <c r="D20" s="200">
        <f t="shared" si="0"/>
        <v>81038869</v>
      </c>
      <c r="E20" s="200">
        <f t="shared" si="0"/>
        <v>216853280</v>
      </c>
      <c r="F20" s="200">
        <f t="shared" si="0"/>
        <v>371301372</v>
      </c>
      <c r="G20" s="200">
        <f t="shared" si="0"/>
        <v>111277950</v>
      </c>
      <c r="H20" s="200">
        <f t="shared" si="0"/>
        <v>7419544048</v>
      </c>
      <c r="I20" s="200">
        <f t="shared" si="0"/>
        <v>35992886</v>
      </c>
      <c r="J20" s="200">
        <f t="shared" si="0"/>
        <v>1025893976</v>
      </c>
      <c r="K20" s="200">
        <f t="shared" si="0"/>
        <v>2002945255</v>
      </c>
      <c r="L20" s="200">
        <f t="shared" si="0"/>
        <v>2221102850</v>
      </c>
      <c r="M20" s="200">
        <f t="shared" si="0"/>
        <v>519234160</v>
      </c>
      <c r="N20" s="200">
        <f t="shared" si="0"/>
        <v>282534481</v>
      </c>
      <c r="O20" s="200">
        <f t="shared" si="0"/>
        <v>159116314</v>
      </c>
      <c r="P20" s="33">
        <f t="shared" si="1"/>
        <v>14446835441</v>
      </c>
      <c r="Q20" s="160" t="str">
        <f t="shared" si="2"/>
        <v>Line 208 + Line 308</v>
      </c>
      <c r="R20" s="133">
        <f t="shared" si="3"/>
        <v>108</v>
      </c>
    </row>
    <row r="21" spans="1:19">
      <c r="A21" s="133">
        <f t="shared" si="4"/>
        <v>109</v>
      </c>
      <c r="B21" s="153" t="s">
        <v>437</v>
      </c>
      <c r="C21" s="158">
        <f>'1-BaseTRR'!$G$2</f>
        <v>2021</v>
      </c>
      <c r="D21" s="200">
        <f t="shared" si="0"/>
        <v>80558548</v>
      </c>
      <c r="E21" s="200">
        <f t="shared" si="0"/>
        <v>216902184</v>
      </c>
      <c r="F21" s="200">
        <f t="shared" si="0"/>
        <v>371342854</v>
      </c>
      <c r="G21" s="200">
        <f t="shared" si="0"/>
        <v>107652505</v>
      </c>
      <c r="H21" s="200">
        <f t="shared" si="0"/>
        <v>7451152743</v>
      </c>
      <c r="I21" s="200">
        <f t="shared" si="0"/>
        <v>34530963</v>
      </c>
      <c r="J21" s="200">
        <f t="shared" si="0"/>
        <v>1026697230</v>
      </c>
      <c r="K21" s="200">
        <f t="shared" si="0"/>
        <v>2032409326</v>
      </c>
      <c r="L21" s="200">
        <f t="shared" si="0"/>
        <v>2234517950</v>
      </c>
      <c r="M21" s="200">
        <f t="shared" si="0"/>
        <v>518187422</v>
      </c>
      <c r="N21" s="200">
        <f t="shared" si="0"/>
        <v>281559380</v>
      </c>
      <c r="O21" s="200">
        <f t="shared" si="0"/>
        <v>160346173</v>
      </c>
      <c r="P21" s="33">
        <f t="shared" si="1"/>
        <v>14515857278</v>
      </c>
      <c r="Q21" s="160" t="str">
        <f t="shared" si="2"/>
        <v>Line 209 + Line 309</v>
      </c>
      <c r="R21" s="133">
        <f t="shared" si="3"/>
        <v>109</v>
      </c>
    </row>
    <row r="22" spans="1:19">
      <c r="A22" s="133">
        <f t="shared" si="4"/>
        <v>110</v>
      </c>
      <c r="B22" s="153" t="s">
        <v>438</v>
      </c>
      <c r="C22" s="158">
        <f>'1-BaseTRR'!$G$2</f>
        <v>2021</v>
      </c>
      <c r="D22" s="200">
        <f t="shared" si="0"/>
        <v>81465910</v>
      </c>
      <c r="E22" s="200">
        <f t="shared" si="0"/>
        <v>217137771</v>
      </c>
      <c r="F22" s="200">
        <f t="shared" si="0"/>
        <v>371358245</v>
      </c>
      <c r="G22" s="200">
        <f>+G47+G72</f>
        <v>108285821</v>
      </c>
      <c r="H22" s="200">
        <f t="shared" si="0"/>
        <v>7462951303</v>
      </c>
      <c r="I22" s="200">
        <f t="shared" si="0"/>
        <v>34560958</v>
      </c>
      <c r="J22" s="200">
        <f t="shared" si="0"/>
        <v>1027423378</v>
      </c>
      <c r="K22" s="200">
        <f t="shared" si="0"/>
        <v>2056121519</v>
      </c>
      <c r="L22" s="200">
        <f t="shared" si="0"/>
        <v>2264699551</v>
      </c>
      <c r="M22" s="200">
        <f t="shared" si="0"/>
        <v>518207870</v>
      </c>
      <c r="N22" s="200">
        <f t="shared" si="0"/>
        <v>281563823</v>
      </c>
      <c r="O22" s="200">
        <f t="shared" si="0"/>
        <v>161084948</v>
      </c>
      <c r="P22" s="33">
        <f t="shared" si="1"/>
        <v>14584861097</v>
      </c>
      <c r="Q22" s="160" t="str">
        <f t="shared" si="2"/>
        <v>Line 210 + Line 310</v>
      </c>
      <c r="R22" s="133">
        <f t="shared" si="3"/>
        <v>110</v>
      </c>
    </row>
    <row r="23" spans="1:19">
      <c r="A23" s="133">
        <f t="shared" si="4"/>
        <v>111</v>
      </c>
      <c r="B23" s="153" t="s">
        <v>439</v>
      </c>
      <c r="C23" s="158">
        <f>'1-BaseTRR'!$G$2</f>
        <v>2021</v>
      </c>
      <c r="D23" s="200">
        <f t="shared" si="0"/>
        <v>81298190</v>
      </c>
      <c r="E23" s="200">
        <f t="shared" si="0"/>
        <v>217689642</v>
      </c>
      <c r="F23" s="200">
        <f t="shared" si="0"/>
        <v>371380938</v>
      </c>
      <c r="G23" s="200">
        <f t="shared" si="0"/>
        <v>108507540</v>
      </c>
      <c r="H23" s="200">
        <f t="shared" si="0"/>
        <v>7528974216</v>
      </c>
      <c r="I23" s="200">
        <f t="shared" si="0"/>
        <v>34569305</v>
      </c>
      <c r="J23" s="200">
        <f t="shared" si="0"/>
        <v>1029579528</v>
      </c>
      <c r="K23" s="200">
        <f t="shared" si="0"/>
        <v>2076394581</v>
      </c>
      <c r="L23" s="200">
        <f t="shared" si="0"/>
        <v>2295546590</v>
      </c>
      <c r="M23" s="200">
        <f t="shared" si="0"/>
        <v>518612446</v>
      </c>
      <c r="N23" s="200">
        <f t="shared" si="0"/>
        <v>281572447</v>
      </c>
      <c r="O23" s="200">
        <f t="shared" si="0"/>
        <v>162616168</v>
      </c>
      <c r="P23" s="33">
        <f t="shared" si="1"/>
        <v>14706741591</v>
      </c>
      <c r="Q23" s="160" t="str">
        <f t="shared" si="2"/>
        <v>Line 211 + Line 311</v>
      </c>
      <c r="R23" s="133">
        <f t="shared" si="3"/>
        <v>111</v>
      </c>
      <c r="S23" s="160"/>
    </row>
    <row r="24" spans="1:19">
      <c r="A24" s="133">
        <f t="shared" si="4"/>
        <v>112</v>
      </c>
      <c r="B24" s="161" t="s">
        <v>428</v>
      </c>
      <c r="C24" s="162">
        <f>'1-BaseTRR'!$G$2</f>
        <v>2021</v>
      </c>
      <c r="D24" s="470">
        <f t="shared" si="0"/>
        <v>82791681</v>
      </c>
      <c r="E24" s="470">
        <f t="shared" si="0"/>
        <v>208997631</v>
      </c>
      <c r="F24" s="470">
        <f t="shared" si="0"/>
        <v>362688526</v>
      </c>
      <c r="G24" s="470">
        <f t="shared" si="0"/>
        <v>108679506</v>
      </c>
      <c r="H24" s="470">
        <f t="shared" si="0"/>
        <v>7529329070</v>
      </c>
      <c r="I24" s="470">
        <f t="shared" si="0"/>
        <v>35991450</v>
      </c>
      <c r="J24" s="470">
        <f t="shared" si="0"/>
        <v>1040283564</v>
      </c>
      <c r="K24" s="470">
        <f t="shared" si="0"/>
        <v>2159592516</v>
      </c>
      <c r="L24" s="470">
        <f t="shared" si="0"/>
        <v>2346203987</v>
      </c>
      <c r="M24" s="470">
        <f t="shared" si="0"/>
        <v>518614161</v>
      </c>
      <c r="N24" s="470">
        <f t="shared" si="0"/>
        <v>281575116</v>
      </c>
      <c r="O24" s="470">
        <f t="shared" si="0"/>
        <v>164958388</v>
      </c>
      <c r="P24" s="470">
        <f t="shared" si="1"/>
        <v>14839705596</v>
      </c>
      <c r="Q24" s="160" t="str">
        <f t="shared" si="2"/>
        <v>Line 212 + Line 312</v>
      </c>
      <c r="R24" s="133">
        <f t="shared" si="3"/>
        <v>112</v>
      </c>
      <c r="S24" s="160"/>
    </row>
    <row r="25" spans="1:19">
      <c r="A25" s="133">
        <f t="shared" si="4"/>
        <v>113</v>
      </c>
      <c r="B25" s="546" t="s">
        <v>702</v>
      </c>
      <c r="C25" s="170"/>
      <c r="D25" s="201">
        <f>SUM(D12:D24)/13</f>
        <v>79871428.692307696</v>
      </c>
      <c r="E25" s="201">
        <f>SUM(E12:E24)/13</f>
        <v>212847312.53846154</v>
      </c>
      <c r="F25" s="201">
        <f>SUM(F12:F24)/13</f>
        <v>367314589.61538464</v>
      </c>
      <c r="G25" s="201">
        <f>SUM(G12:G24)/13</f>
        <v>109429726.15384616</v>
      </c>
      <c r="H25" s="201">
        <f t="shared" ref="H25:P25" si="5">SUM(H12:H24)/13</f>
        <v>7374005052.4615383</v>
      </c>
      <c r="I25" s="201">
        <f t="shared" si="5"/>
        <v>35647110.07692308</v>
      </c>
      <c r="J25" s="201">
        <f t="shared" si="5"/>
        <v>999727693</v>
      </c>
      <c r="K25" s="201">
        <f t="shared" si="5"/>
        <v>1983129385.1538463</v>
      </c>
      <c r="L25" s="201">
        <f t="shared" si="5"/>
        <v>2191722515.5384617</v>
      </c>
      <c r="M25" s="201">
        <f t="shared" si="5"/>
        <v>515462210.30769229</v>
      </c>
      <c r="N25" s="201">
        <f t="shared" si="5"/>
        <v>281576208.69230771</v>
      </c>
      <c r="O25" s="201">
        <f t="shared" si="5"/>
        <v>154591640.30769232</v>
      </c>
      <c r="P25" s="201">
        <f t="shared" si="5"/>
        <v>14305324872.538462</v>
      </c>
      <c r="Q25" s="160"/>
      <c r="R25" s="133">
        <f t="shared" si="3"/>
        <v>113</v>
      </c>
      <c r="S25" s="160"/>
    </row>
    <row r="26" spans="1:19">
      <c r="A26" s="27"/>
      <c r="B26" s="17"/>
      <c r="C26" s="17"/>
      <c r="D26" s="17"/>
      <c r="E26" s="17"/>
      <c r="F26" s="17"/>
      <c r="G26" s="17"/>
      <c r="H26" s="17"/>
      <c r="I26" s="17"/>
      <c r="J26" s="17"/>
      <c r="K26" s="17"/>
      <c r="L26" s="17"/>
      <c r="M26" s="17"/>
      <c r="R26" s="133"/>
    </row>
    <row r="27" spans="1:19">
      <c r="A27" s="27"/>
      <c r="B27" s="17"/>
      <c r="C27" s="17"/>
      <c r="D27" s="17"/>
      <c r="E27" s="17"/>
      <c r="F27" s="17"/>
      <c r="G27" s="17"/>
      <c r="H27" s="17"/>
      <c r="I27" s="17"/>
      <c r="J27" s="17"/>
      <c r="K27" s="17"/>
      <c r="L27" s="17"/>
      <c r="M27" s="17"/>
      <c r="R27" s="133"/>
    </row>
    <row r="28" spans="1:19">
      <c r="B28" s="58" t="s">
        <v>703</v>
      </c>
      <c r="C28" s="58"/>
      <c r="D28" s="146"/>
      <c r="E28" s="55"/>
      <c r="F28" s="55"/>
      <c r="G28" s="146"/>
      <c r="H28" s="146"/>
      <c r="I28" s="146"/>
      <c r="J28" s="146"/>
      <c r="K28" s="146"/>
      <c r="L28" s="146"/>
      <c r="M28" s="146"/>
      <c r="N28" s="55"/>
      <c r="O28" s="55"/>
      <c r="P28" s="55"/>
      <c r="Q28" s="55"/>
    </row>
    <row r="29" spans="1:19">
      <c r="B29" s="153" t="s">
        <v>704</v>
      </c>
      <c r="C29" s="12"/>
      <c r="D29" s="17"/>
      <c r="G29" s="17"/>
      <c r="H29" s="17"/>
      <c r="I29" s="17"/>
      <c r="J29" s="17"/>
      <c r="K29" s="17"/>
      <c r="L29" s="17"/>
      <c r="M29" s="17"/>
    </row>
    <row r="30" spans="1:19">
      <c r="B30" t="s">
        <v>705</v>
      </c>
      <c r="C30" s="12"/>
      <c r="D30" s="17"/>
      <c r="G30" s="17"/>
      <c r="H30" s="17"/>
      <c r="I30" s="17"/>
      <c r="J30" s="17"/>
      <c r="K30" s="17"/>
      <c r="L30" s="17"/>
      <c r="M30" s="17"/>
    </row>
    <row r="31" spans="1:19">
      <c r="C31" s="12"/>
      <c r="D31" s="17"/>
      <c r="G31" s="17"/>
      <c r="H31" s="17"/>
      <c r="I31" s="17"/>
      <c r="J31" s="17"/>
      <c r="K31" s="17"/>
      <c r="L31" s="17"/>
      <c r="M31" s="17"/>
    </row>
    <row r="32" spans="1:19">
      <c r="A32" s="8"/>
      <c r="D32" s="124" t="s">
        <v>371</v>
      </c>
      <c r="E32" s="124" t="s">
        <v>372</v>
      </c>
      <c r="F32" s="124" t="s">
        <v>373</v>
      </c>
      <c r="G32" s="124" t="s">
        <v>374</v>
      </c>
      <c r="H32" s="124" t="s">
        <v>375</v>
      </c>
      <c r="I32" s="124" t="s">
        <v>376</v>
      </c>
      <c r="J32" s="124" t="s">
        <v>377</v>
      </c>
      <c r="K32" s="124" t="s">
        <v>378</v>
      </c>
      <c r="L32" s="124" t="s">
        <v>409</v>
      </c>
      <c r="M32" s="124" t="s">
        <v>525</v>
      </c>
      <c r="N32" s="124" t="s">
        <v>526</v>
      </c>
      <c r="O32" s="124" t="s">
        <v>527</v>
      </c>
      <c r="P32" s="124" t="s">
        <v>528</v>
      </c>
      <c r="Q32" s="124"/>
    </row>
    <row r="33" spans="1:18">
      <c r="B33" s="8"/>
      <c r="C33" s="8"/>
      <c r="D33" s="164"/>
      <c r="E33" s="164"/>
      <c r="F33" s="164"/>
      <c r="G33" s="164"/>
      <c r="H33" s="164"/>
      <c r="I33" s="164"/>
      <c r="J33" s="164"/>
      <c r="K33" s="164"/>
      <c r="L33" s="164"/>
      <c r="M33" s="164"/>
      <c r="N33" s="164"/>
      <c r="O33" s="164"/>
      <c r="P33" s="156" t="s">
        <v>688</v>
      </c>
      <c r="Q33" s="30"/>
    </row>
    <row r="34" spans="1:18">
      <c r="B34" s="8"/>
      <c r="C34" s="8"/>
      <c r="P34" s="30"/>
      <c r="Q34" s="30"/>
    </row>
    <row r="35" spans="1:18">
      <c r="A35" s="133"/>
      <c r="B35" s="133"/>
      <c r="C35" s="132" t="s">
        <v>689</v>
      </c>
      <c r="D35" s="125">
        <v>350.01</v>
      </c>
      <c r="E35" s="125">
        <v>350.02</v>
      </c>
      <c r="F35" s="125">
        <v>352.01</v>
      </c>
      <c r="G35" s="125">
        <v>352.02</v>
      </c>
      <c r="H35" s="125">
        <v>353.01</v>
      </c>
      <c r="I35" s="125">
        <v>353.02</v>
      </c>
      <c r="J35" s="125">
        <v>354</v>
      </c>
      <c r="K35" s="125">
        <v>355</v>
      </c>
      <c r="L35" s="125">
        <v>356</v>
      </c>
      <c r="M35" s="125">
        <v>357</v>
      </c>
      <c r="N35" s="125">
        <v>358</v>
      </c>
      <c r="O35" s="125">
        <v>359</v>
      </c>
    </row>
    <row r="36" spans="1:18">
      <c r="A36" s="121" t="s">
        <v>100</v>
      </c>
      <c r="B36" s="121" t="s">
        <v>384</v>
      </c>
      <c r="C36" s="121" t="s">
        <v>420</v>
      </c>
      <c r="D36" s="124" t="s">
        <v>690</v>
      </c>
      <c r="E36" s="124" t="s">
        <v>691</v>
      </c>
      <c r="F36" s="124" t="s">
        <v>692</v>
      </c>
      <c r="G36" s="124" t="s">
        <v>693</v>
      </c>
      <c r="H36" s="124" t="s">
        <v>694</v>
      </c>
      <c r="I36" s="124" t="s">
        <v>695</v>
      </c>
      <c r="J36" s="124" t="s">
        <v>696</v>
      </c>
      <c r="K36" s="124" t="s">
        <v>697</v>
      </c>
      <c r="L36" s="124" t="s">
        <v>698</v>
      </c>
      <c r="M36" s="124" t="s">
        <v>699</v>
      </c>
      <c r="N36" s="124" t="s">
        <v>700</v>
      </c>
      <c r="O36" s="124" t="s">
        <v>701</v>
      </c>
      <c r="P36" s="121" t="s">
        <v>465</v>
      </c>
      <c r="Q36" s="121"/>
      <c r="R36" s="121" t="str">
        <f>A36</f>
        <v>Line</v>
      </c>
    </row>
    <row r="37" spans="1:18">
      <c r="A37" s="133">
        <v>200</v>
      </c>
      <c r="B37" s="153" t="s">
        <v>428</v>
      </c>
      <c r="C37" s="158">
        <f>'1-BaseTRR'!$G$2-1</f>
        <v>2020</v>
      </c>
      <c r="D37" s="471">
        <v>45183262</v>
      </c>
      <c r="E37" s="471">
        <v>100461806</v>
      </c>
      <c r="F37" s="471">
        <v>177010988</v>
      </c>
      <c r="G37" s="471">
        <v>43880754</v>
      </c>
      <c r="H37" s="471">
        <v>3533671154</v>
      </c>
      <c r="I37" s="471">
        <v>9119741</v>
      </c>
      <c r="J37" s="471">
        <v>517511887</v>
      </c>
      <c r="K37" s="471">
        <v>299366891</v>
      </c>
      <c r="L37" s="471">
        <v>749772189</v>
      </c>
      <c r="M37" s="471">
        <v>342595756</v>
      </c>
      <c r="N37" s="471">
        <v>110131458</v>
      </c>
      <c r="O37" s="471">
        <v>40170760</v>
      </c>
      <c r="P37" s="33">
        <f>SUM(D37:O37)</f>
        <v>5968876646</v>
      </c>
      <c r="Q37" s="160"/>
      <c r="R37" s="133">
        <f t="shared" ref="R37:R50" si="6">A37</f>
        <v>200</v>
      </c>
    </row>
    <row r="38" spans="1:18">
      <c r="A38" s="133">
        <f>A37+1</f>
        <v>201</v>
      </c>
      <c r="B38" s="153" t="s">
        <v>430</v>
      </c>
      <c r="C38" s="158">
        <f>'1-BaseTRR'!$G$2</f>
        <v>2021</v>
      </c>
      <c r="D38" s="471">
        <v>52505153</v>
      </c>
      <c r="E38" s="471">
        <v>99307494</v>
      </c>
      <c r="F38" s="471">
        <v>146693384</v>
      </c>
      <c r="G38" s="471">
        <v>31313928</v>
      </c>
      <c r="H38" s="471">
        <v>2537187520</v>
      </c>
      <c r="I38" s="471">
        <v>4820623</v>
      </c>
      <c r="J38" s="471">
        <v>516607801</v>
      </c>
      <c r="K38" s="471">
        <v>196906971</v>
      </c>
      <c r="L38" s="471">
        <v>811894439</v>
      </c>
      <c r="M38" s="471">
        <v>345067656</v>
      </c>
      <c r="N38" s="471">
        <v>116784473</v>
      </c>
      <c r="O38" s="471">
        <v>41055258</v>
      </c>
      <c r="P38" s="33">
        <f t="shared" ref="P38:P49" si="7">SUM(D38:O38)</f>
        <v>4900144700</v>
      </c>
      <c r="Q38" s="160"/>
      <c r="R38" s="133">
        <f t="shared" si="6"/>
        <v>201</v>
      </c>
    </row>
    <row r="39" spans="1:18">
      <c r="A39" s="133">
        <f t="shared" ref="A39:A50" si="8">A38+1</f>
        <v>202</v>
      </c>
      <c r="B39" s="153" t="s">
        <v>431</v>
      </c>
      <c r="C39" s="158">
        <f>'1-BaseTRR'!$G$2</f>
        <v>2021</v>
      </c>
      <c r="D39" s="471">
        <v>52512889</v>
      </c>
      <c r="E39" s="471">
        <v>99324486</v>
      </c>
      <c r="F39" s="471">
        <v>146485112</v>
      </c>
      <c r="G39" s="471">
        <v>31313928</v>
      </c>
      <c r="H39" s="471">
        <v>2574287988</v>
      </c>
      <c r="I39" s="471">
        <v>4820623</v>
      </c>
      <c r="J39" s="471">
        <v>516061317</v>
      </c>
      <c r="K39" s="471">
        <v>187277843</v>
      </c>
      <c r="L39" s="471">
        <v>814066496</v>
      </c>
      <c r="M39" s="471">
        <v>345068501</v>
      </c>
      <c r="N39" s="471">
        <v>116786120</v>
      </c>
      <c r="O39" s="471">
        <v>53832540</v>
      </c>
      <c r="P39" s="33">
        <f t="shared" si="7"/>
        <v>4941837843</v>
      </c>
      <c r="Q39" s="160"/>
      <c r="R39" s="133">
        <f t="shared" si="6"/>
        <v>202</v>
      </c>
    </row>
    <row r="40" spans="1:18">
      <c r="A40" s="133">
        <f t="shared" si="8"/>
        <v>203</v>
      </c>
      <c r="B40" s="153" t="s">
        <v>432</v>
      </c>
      <c r="C40" s="158">
        <f>'1-BaseTRR'!$G$2</f>
        <v>2021</v>
      </c>
      <c r="D40" s="471">
        <v>52447253</v>
      </c>
      <c r="E40" s="471">
        <v>99360931</v>
      </c>
      <c r="F40" s="471">
        <v>145635728</v>
      </c>
      <c r="G40" s="471">
        <v>31316638</v>
      </c>
      <c r="H40" s="471">
        <v>2595984951</v>
      </c>
      <c r="I40" s="471">
        <v>4820623</v>
      </c>
      <c r="J40" s="471">
        <v>518852966</v>
      </c>
      <c r="K40" s="471">
        <v>184672287</v>
      </c>
      <c r="L40" s="471">
        <v>815424089</v>
      </c>
      <c r="M40" s="471">
        <v>345117715</v>
      </c>
      <c r="N40" s="471">
        <v>117087051</v>
      </c>
      <c r="O40" s="471">
        <v>59378531</v>
      </c>
      <c r="P40" s="33">
        <f t="shared" si="7"/>
        <v>4970098763</v>
      </c>
      <c r="Q40" s="160"/>
      <c r="R40" s="133">
        <f t="shared" si="6"/>
        <v>203</v>
      </c>
    </row>
    <row r="41" spans="1:18">
      <c r="A41" s="133">
        <f t="shared" si="8"/>
        <v>204</v>
      </c>
      <c r="B41" s="153" t="s">
        <v>433</v>
      </c>
      <c r="C41" s="158">
        <f>'1-BaseTRR'!$G$2</f>
        <v>2021</v>
      </c>
      <c r="D41" s="471">
        <v>52458365</v>
      </c>
      <c r="E41" s="471">
        <v>99412426</v>
      </c>
      <c r="F41" s="471">
        <v>145633951</v>
      </c>
      <c r="G41" s="471">
        <v>31329504</v>
      </c>
      <c r="H41" s="471">
        <v>2619681672</v>
      </c>
      <c r="I41" s="471">
        <v>4820623</v>
      </c>
      <c r="J41" s="471">
        <v>519406572</v>
      </c>
      <c r="K41" s="471">
        <v>179320396</v>
      </c>
      <c r="L41" s="471">
        <v>819949931</v>
      </c>
      <c r="M41" s="471">
        <v>345510105</v>
      </c>
      <c r="N41" s="471">
        <v>117098136</v>
      </c>
      <c r="O41" s="471">
        <v>59314515</v>
      </c>
      <c r="P41" s="33">
        <f t="shared" si="7"/>
        <v>4993936196</v>
      </c>
      <c r="Q41" s="160"/>
      <c r="R41" s="133">
        <f t="shared" si="6"/>
        <v>204</v>
      </c>
    </row>
    <row r="42" spans="1:18">
      <c r="A42" s="133">
        <f t="shared" si="8"/>
        <v>205</v>
      </c>
      <c r="B42" s="153" t="s">
        <v>395</v>
      </c>
      <c r="C42" s="158">
        <f>'1-BaseTRR'!$G$2</f>
        <v>2021</v>
      </c>
      <c r="D42" s="471">
        <v>52464574</v>
      </c>
      <c r="E42" s="471">
        <v>99455654</v>
      </c>
      <c r="F42" s="471">
        <v>145633950</v>
      </c>
      <c r="G42" s="471">
        <v>31339473</v>
      </c>
      <c r="H42" s="471">
        <v>2658509204</v>
      </c>
      <c r="I42" s="471">
        <v>4820623</v>
      </c>
      <c r="J42" s="471">
        <v>524787561</v>
      </c>
      <c r="K42" s="471">
        <v>173278207</v>
      </c>
      <c r="L42" s="471">
        <v>831721459</v>
      </c>
      <c r="M42" s="471">
        <v>345119390</v>
      </c>
      <c r="N42" s="471">
        <v>117102802</v>
      </c>
      <c r="O42" s="471">
        <v>59452016</v>
      </c>
      <c r="P42" s="33">
        <f t="shared" si="7"/>
        <v>5043684913</v>
      </c>
      <c r="Q42" s="160"/>
      <c r="R42" s="133">
        <f t="shared" si="6"/>
        <v>205</v>
      </c>
    </row>
    <row r="43" spans="1:18">
      <c r="A43" s="133">
        <f t="shared" si="8"/>
        <v>206</v>
      </c>
      <c r="B43" s="153" t="s">
        <v>531</v>
      </c>
      <c r="C43" s="158">
        <f>'1-BaseTRR'!$G$2</f>
        <v>2021</v>
      </c>
      <c r="D43" s="471">
        <v>52487661</v>
      </c>
      <c r="E43" s="471">
        <v>99534795</v>
      </c>
      <c r="F43" s="471">
        <v>145634310</v>
      </c>
      <c r="G43" s="471">
        <v>33256779</v>
      </c>
      <c r="H43" s="471">
        <v>2701676115</v>
      </c>
      <c r="I43" s="471">
        <v>4820623</v>
      </c>
      <c r="J43" s="471">
        <v>527935467</v>
      </c>
      <c r="K43" s="471">
        <v>170753974</v>
      </c>
      <c r="L43" s="471">
        <v>836008799</v>
      </c>
      <c r="M43" s="471">
        <v>351296170</v>
      </c>
      <c r="N43" s="471">
        <v>117106602</v>
      </c>
      <c r="O43" s="471">
        <v>56876145</v>
      </c>
      <c r="P43" s="33">
        <f t="shared" si="7"/>
        <v>5097387440</v>
      </c>
      <c r="Q43" s="160"/>
      <c r="R43" s="133">
        <f t="shared" si="6"/>
        <v>206</v>
      </c>
    </row>
    <row r="44" spans="1:18">
      <c r="A44" s="133">
        <f t="shared" si="8"/>
        <v>207</v>
      </c>
      <c r="B44" s="153" t="s">
        <v>435</v>
      </c>
      <c r="C44" s="158">
        <f>'1-BaseTRR'!$G$2</f>
        <v>2021</v>
      </c>
      <c r="D44" s="471">
        <v>52501724</v>
      </c>
      <c r="E44" s="471">
        <v>99591395</v>
      </c>
      <c r="F44" s="471">
        <v>145634107</v>
      </c>
      <c r="G44" s="471">
        <v>33284274</v>
      </c>
      <c r="H44" s="471">
        <v>2708593313</v>
      </c>
      <c r="I44" s="471">
        <v>4820683</v>
      </c>
      <c r="J44" s="471">
        <v>533220144</v>
      </c>
      <c r="K44" s="471">
        <v>166048971</v>
      </c>
      <c r="L44" s="471">
        <v>842338830</v>
      </c>
      <c r="M44" s="471">
        <v>351301746</v>
      </c>
      <c r="N44" s="471">
        <v>117138375</v>
      </c>
      <c r="O44" s="471">
        <v>58283948</v>
      </c>
      <c r="P44" s="33">
        <f t="shared" si="7"/>
        <v>5112757510</v>
      </c>
      <c r="Q44" s="160"/>
      <c r="R44" s="133">
        <f t="shared" si="6"/>
        <v>207</v>
      </c>
    </row>
    <row r="45" spans="1:18">
      <c r="A45" s="133">
        <f t="shared" si="8"/>
        <v>208</v>
      </c>
      <c r="B45" s="153" t="s">
        <v>436</v>
      </c>
      <c r="C45" s="158">
        <f>'1-BaseTRR'!$G$2</f>
        <v>2021</v>
      </c>
      <c r="D45" s="471">
        <v>52457892</v>
      </c>
      <c r="E45" s="471">
        <v>99658660</v>
      </c>
      <c r="F45" s="471">
        <v>145641291</v>
      </c>
      <c r="G45" s="471">
        <v>33310905</v>
      </c>
      <c r="H45" s="471">
        <v>2713137977</v>
      </c>
      <c r="I45" s="471">
        <v>4822361</v>
      </c>
      <c r="J45" s="471">
        <v>533274854</v>
      </c>
      <c r="K45" s="471">
        <v>164805409</v>
      </c>
      <c r="L45" s="471">
        <v>842904525</v>
      </c>
      <c r="M45" s="471">
        <v>351553889</v>
      </c>
      <c r="N45" s="471">
        <v>117327822</v>
      </c>
      <c r="O45" s="471">
        <v>59953172</v>
      </c>
      <c r="P45" s="33">
        <f t="shared" si="7"/>
        <v>5118848757</v>
      </c>
      <c r="Q45" s="160"/>
      <c r="R45" s="133">
        <f t="shared" si="6"/>
        <v>208</v>
      </c>
    </row>
    <row r="46" spans="1:18">
      <c r="A46" s="133">
        <f t="shared" si="8"/>
        <v>209</v>
      </c>
      <c r="B46" s="153" t="s">
        <v>437</v>
      </c>
      <c r="C46" s="158">
        <f>'1-BaseTRR'!$G$2</f>
        <v>2021</v>
      </c>
      <c r="D46" s="471">
        <v>52690164</v>
      </c>
      <c r="E46" s="471">
        <v>99669832</v>
      </c>
      <c r="F46" s="471">
        <v>145640425</v>
      </c>
      <c r="G46" s="471">
        <v>32033449</v>
      </c>
      <c r="H46" s="471">
        <v>2724410328</v>
      </c>
      <c r="I46" s="471">
        <v>4306264</v>
      </c>
      <c r="J46" s="471">
        <v>533444039</v>
      </c>
      <c r="K46" s="471">
        <v>164921138</v>
      </c>
      <c r="L46" s="471">
        <v>848613683</v>
      </c>
      <c r="M46" s="471">
        <v>351340642</v>
      </c>
      <c r="N46" s="471">
        <v>117151765</v>
      </c>
      <c r="O46" s="471">
        <v>60348495</v>
      </c>
      <c r="P46" s="33">
        <f t="shared" si="7"/>
        <v>5134570224</v>
      </c>
      <c r="Q46" s="160"/>
      <c r="R46" s="133">
        <f t="shared" si="6"/>
        <v>209</v>
      </c>
    </row>
    <row r="47" spans="1:18">
      <c r="A47" s="133">
        <f t="shared" si="8"/>
        <v>210</v>
      </c>
      <c r="B47" s="153" t="s">
        <v>438</v>
      </c>
      <c r="C47" s="158">
        <f>'1-BaseTRR'!$G$2</f>
        <v>2021</v>
      </c>
      <c r="D47" s="471">
        <v>53371870</v>
      </c>
      <c r="E47" s="471">
        <v>99734482</v>
      </c>
      <c r="F47" s="471">
        <v>145640425</v>
      </c>
      <c r="G47" s="471">
        <v>32164327</v>
      </c>
      <c r="H47" s="471">
        <v>2729455019</v>
      </c>
      <c r="I47" s="471">
        <v>4316846</v>
      </c>
      <c r="J47" s="471">
        <v>533650295</v>
      </c>
      <c r="K47" s="471">
        <v>165081365</v>
      </c>
      <c r="L47" s="471">
        <v>854114778</v>
      </c>
      <c r="M47" s="471">
        <v>351345215</v>
      </c>
      <c r="N47" s="471">
        <v>117153416</v>
      </c>
      <c r="O47" s="471">
        <v>60789016</v>
      </c>
      <c r="P47" s="33">
        <f t="shared" si="7"/>
        <v>5146817054</v>
      </c>
      <c r="Q47" s="160"/>
      <c r="R47" s="133">
        <f t="shared" si="6"/>
        <v>210</v>
      </c>
    </row>
    <row r="48" spans="1:18">
      <c r="A48" s="133">
        <f t="shared" si="8"/>
        <v>211</v>
      </c>
      <c r="B48" s="153" t="s">
        <v>439</v>
      </c>
      <c r="C48" s="158">
        <f>'1-BaseTRR'!$G$2</f>
        <v>2021</v>
      </c>
      <c r="D48" s="471">
        <v>53088678</v>
      </c>
      <c r="E48" s="471">
        <v>100171709</v>
      </c>
      <c r="F48" s="471">
        <v>145640425</v>
      </c>
      <c r="G48" s="471">
        <v>32188963</v>
      </c>
      <c r="H48" s="471">
        <v>2796253125</v>
      </c>
      <c r="I48" s="471">
        <v>4319791</v>
      </c>
      <c r="J48" s="471">
        <v>533794458</v>
      </c>
      <c r="K48" s="471">
        <v>162499688</v>
      </c>
      <c r="L48" s="471">
        <v>869067785</v>
      </c>
      <c r="M48" s="471">
        <v>351747063</v>
      </c>
      <c r="N48" s="471">
        <v>117156502</v>
      </c>
      <c r="O48" s="471">
        <v>61352560</v>
      </c>
      <c r="P48" s="33">
        <f t="shared" si="7"/>
        <v>5227280747</v>
      </c>
      <c r="Q48" s="160"/>
      <c r="R48" s="133">
        <f t="shared" si="6"/>
        <v>211</v>
      </c>
    </row>
    <row r="49" spans="1:18">
      <c r="A49" s="133">
        <f t="shared" si="8"/>
        <v>212</v>
      </c>
      <c r="B49" s="161" t="s">
        <v>428</v>
      </c>
      <c r="C49" s="162">
        <f>'1-BaseTRR'!$G$2</f>
        <v>2021</v>
      </c>
      <c r="D49" s="472">
        <v>53064227</v>
      </c>
      <c r="E49" s="472">
        <v>100274774</v>
      </c>
      <c r="F49" s="472">
        <v>151151509</v>
      </c>
      <c r="G49" s="472">
        <v>34486743</v>
      </c>
      <c r="H49" s="472">
        <v>2811121350</v>
      </c>
      <c r="I49" s="472">
        <v>4821603</v>
      </c>
      <c r="J49" s="472">
        <v>536643388</v>
      </c>
      <c r="K49" s="472">
        <v>142382009</v>
      </c>
      <c r="L49" s="472">
        <v>863683216</v>
      </c>
      <c r="M49" s="472">
        <v>351675577</v>
      </c>
      <c r="N49" s="472">
        <v>116938830</v>
      </c>
      <c r="O49" s="472">
        <v>70037974</v>
      </c>
      <c r="P49" s="473">
        <f t="shared" si="7"/>
        <v>5236281200</v>
      </c>
      <c r="Q49" s="160"/>
      <c r="R49" s="133">
        <f t="shared" si="6"/>
        <v>212</v>
      </c>
    </row>
    <row r="50" spans="1:18">
      <c r="A50" s="133">
        <f t="shared" si="8"/>
        <v>213</v>
      </c>
      <c r="B50" s="546" t="s">
        <v>702</v>
      </c>
      <c r="C50" s="170"/>
      <c r="D50" s="201">
        <f>SUM(D37:D49)/13</f>
        <v>52094900.92307692</v>
      </c>
      <c r="E50" s="201">
        <f>SUM(E37:E49)/13</f>
        <v>99689111.076923072</v>
      </c>
      <c r="F50" s="201">
        <f>SUM(F37:F49)/13</f>
        <v>148621200.38461539</v>
      </c>
      <c r="G50" s="201">
        <f>SUM(G37:G49)/13</f>
        <v>33170743.46153846</v>
      </c>
      <c r="H50" s="201">
        <f t="shared" ref="H50" si="9">SUM(H37:H49)/13</f>
        <v>2746459208.9230771</v>
      </c>
      <c r="I50" s="201">
        <f t="shared" ref="I50" si="10">SUM(I37:I49)/13</f>
        <v>5034694.384615385</v>
      </c>
      <c r="J50" s="201">
        <f t="shared" ref="J50" si="11">SUM(J37:J49)/13</f>
        <v>526553134.53846157</v>
      </c>
      <c r="K50" s="201">
        <f t="shared" ref="K50" si="12">SUM(K37:K49)/13</f>
        <v>181331934.53846154</v>
      </c>
      <c r="L50" s="201">
        <f t="shared" ref="L50" si="13">SUM(L37:L49)/13</f>
        <v>830735401.46153843</v>
      </c>
      <c r="M50" s="201">
        <f t="shared" ref="M50" si="14">SUM(M37:M49)/13</f>
        <v>348364571.15384614</v>
      </c>
      <c r="N50" s="201">
        <f t="shared" ref="N50" si="15">SUM(N37:N49)/13</f>
        <v>116535642.46153846</v>
      </c>
      <c r="O50" s="201">
        <f t="shared" ref="O50" si="16">SUM(O37:O49)/13</f>
        <v>56988071.538461536</v>
      </c>
      <c r="P50" s="354">
        <f t="shared" ref="P50" si="17">SUM(P37:P49)/13</f>
        <v>5145578614.8461542</v>
      </c>
      <c r="Q50" s="160"/>
      <c r="R50" s="133">
        <f t="shared" si="6"/>
        <v>213</v>
      </c>
    </row>
    <row r="51" spans="1:18">
      <c r="A51" s="27"/>
      <c r="B51" s="17"/>
      <c r="C51" s="17"/>
      <c r="D51" s="17"/>
      <c r="E51" s="17"/>
      <c r="F51" s="17"/>
      <c r="G51" s="17"/>
      <c r="H51" s="17"/>
      <c r="I51" s="17"/>
      <c r="J51" s="17"/>
      <c r="K51" s="17"/>
      <c r="L51" s="17"/>
      <c r="M51" s="17"/>
      <c r="R51" s="133"/>
    </row>
    <row r="52" spans="1:18">
      <c r="A52" s="27"/>
      <c r="B52" s="17"/>
      <c r="C52" s="17"/>
      <c r="D52" s="17"/>
      <c r="E52" s="17"/>
      <c r="F52" s="17"/>
      <c r="G52" s="17"/>
      <c r="H52" s="17"/>
      <c r="I52" s="17"/>
      <c r="J52" s="17"/>
      <c r="K52" s="17"/>
      <c r="L52" s="17"/>
      <c r="M52" s="17"/>
      <c r="R52" s="133"/>
    </row>
    <row r="53" spans="1:18">
      <c r="B53" s="58" t="s">
        <v>706</v>
      </c>
      <c r="C53" s="58"/>
      <c r="D53" s="146"/>
      <c r="E53" s="146"/>
      <c r="F53" s="55"/>
      <c r="G53" s="146"/>
      <c r="H53" s="146"/>
      <c r="I53" s="146"/>
      <c r="J53" s="146"/>
      <c r="K53" s="146"/>
      <c r="L53" s="146"/>
      <c r="M53" s="146"/>
      <c r="N53" s="55"/>
      <c r="O53" s="55"/>
      <c r="P53" s="55"/>
      <c r="Q53" s="55"/>
    </row>
    <row r="54" spans="1:18">
      <c r="B54" s="153" t="s">
        <v>707</v>
      </c>
      <c r="C54" s="12"/>
      <c r="D54" s="17"/>
      <c r="E54" s="17"/>
      <c r="G54" s="17"/>
      <c r="H54" s="17"/>
      <c r="I54" s="17"/>
      <c r="J54" s="17"/>
      <c r="K54" s="17"/>
      <c r="L54" s="17"/>
      <c r="M54" s="17"/>
    </row>
    <row r="55" spans="1:18">
      <c r="B55" t="s">
        <v>708</v>
      </c>
      <c r="C55" s="12"/>
      <c r="D55" s="17"/>
      <c r="E55" s="17"/>
      <c r="G55" s="17"/>
      <c r="H55" s="17"/>
      <c r="I55" s="17"/>
      <c r="J55" s="17"/>
      <c r="K55" s="17"/>
      <c r="L55" s="17"/>
      <c r="M55" s="17"/>
    </row>
    <row r="56" spans="1:18">
      <c r="B56" s="153"/>
      <c r="C56" s="12"/>
      <c r="D56" s="17"/>
      <c r="E56" s="17"/>
      <c r="G56" s="17"/>
      <c r="H56" s="17"/>
      <c r="I56" s="17"/>
      <c r="J56" s="17"/>
      <c r="K56" s="17"/>
      <c r="L56" s="17"/>
      <c r="M56" s="17"/>
    </row>
    <row r="57" spans="1:18">
      <c r="A57" s="8"/>
      <c r="D57" s="124" t="s">
        <v>371</v>
      </c>
      <c r="E57" s="124" t="s">
        <v>372</v>
      </c>
      <c r="F57" s="124" t="s">
        <v>373</v>
      </c>
      <c r="G57" s="124" t="s">
        <v>374</v>
      </c>
      <c r="H57" s="124" t="s">
        <v>375</v>
      </c>
      <c r="I57" s="124" t="s">
        <v>376</v>
      </c>
      <c r="J57" s="124" t="s">
        <v>377</v>
      </c>
      <c r="K57" s="124" t="s">
        <v>378</v>
      </c>
      <c r="L57" s="124" t="s">
        <v>409</v>
      </c>
      <c r="M57" s="124" t="s">
        <v>525</v>
      </c>
      <c r="N57" s="124" t="s">
        <v>526</v>
      </c>
      <c r="O57" s="124" t="s">
        <v>527</v>
      </c>
      <c r="P57" s="124" t="s">
        <v>528</v>
      </c>
      <c r="Q57" s="124"/>
      <c r="R57" s="133"/>
    </row>
    <row r="58" spans="1:18">
      <c r="B58" s="8"/>
      <c r="C58" s="8"/>
      <c r="D58" s="164"/>
      <c r="E58" s="164"/>
      <c r="F58" s="164"/>
      <c r="G58" s="164"/>
      <c r="H58" s="164"/>
      <c r="I58" s="164"/>
      <c r="J58" s="164"/>
      <c r="K58" s="164"/>
      <c r="L58" s="164"/>
      <c r="M58" s="164"/>
      <c r="N58" s="164"/>
      <c r="O58" s="164"/>
      <c r="P58" s="156" t="s">
        <v>688</v>
      </c>
      <c r="Q58" s="30"/>
      <c r="R58" s="133"/>
    </row>
    <row r="59" spans="1:18">
      <c r="B59" s="8"/>
      <c r="C59" s="8"/>
      <c r="N59" s="30"/>
      <c r="P59" s="30"/>
      <c r="Q59" s="30"/>
      <c r="R59" s="133"/>
    </row>
    <row r="60" spans="1:18">
      <c r="A60" s="133"/>
      <c r="B60" s="133"/>
      <c r="C60" s="132" t="s">
        <v>689</v>
      </c>
      <c r="D60" s="125">
        <v>350.01</v>
      </c>
      <c r="E60" s="125">
        <v>350.02</v>
      </c>
      <c r="F60" s="125">
        <v>352.01</v>
      </c>
      <c r="G60" s="125">
        <v>352.02</v>
      </c>
      <c r="H60" s="125">
        <v>353.01</v>
      </c>
      <c r="I60" s="125">
        <v>353.02</v>
      </c>
      <c r="J60" s="125">
        <v>354</v>
      </c>
      <c r="K60" s="125">
        <v>355</v>
      </c>
      <c r="L60" s="125">
        <v>356</v>
      </c>
      <c r="M60" s="125">
        <v>357</v>
      </c>
      <c r="N60" s="125">
        <v>358</v>
      </c>
      <c r="O60" s="125">
        <v>359</v>
      </c>
      <c r="R60" s="133"/>
    </row>
    <row r="61" spans="1:18">
      <c r="A61" s="121" t="s">
        <v>100</v>
      </c>
      <c r="B61" s="121" t="s">
        <v>384</v>
      </c>
      <c r="C61" s="121" t="s">
        <v>420</v>
      </c>
      <c r="D61" s="124" t="s">
        <v>690</v>
      </c>
      <c r="E61" s="124" t="s">
        <v>691</v>
      </c>
      <c r="F61" s="124" t="s">
        <v>692</v>
      </c>
      <c r="G61" s="124" t="s">
        <v>693</v>
      </c>
      <c r="H61" s="124" t="s">
        <v>694</v>
      </c>
      <c r="I61" s="124" t="s">
        <v>695</v>
      </c>
      <c r="J61" s="124" t="s">
        <v>696</v>
      </c>
      <c r="K61" s="124" t="s">
        <v>697</v>
      </c>
      <c r="L61" s="124" t="s">
        <v>698</v>
      </c>
      <c r="M61" s="124" t="s">
        <v>699</v>
      </c>
      <c r="N61" s="124" t="s">
        <v>700</v>
      </c>
      <c r="O61" s="124" t="s">
        <v>701</v>
      </c>
      <c r="P61" s="121" t="s">
        <v>465</v>
      </c>
      <c r="Q61" s="121"/>
      <c r="R61" s="121" t="str">
        <f>A61</f>
        <v>Line</v>
      </c>
    </row>
    <row r="62" spans="1:18">
      <c r="A62" s="133">
        <v>300</v>
      </c>
      <c r="B62" s="153" t="s">
        <v>428</v>
      </c>
      <c r="C62" s="158">
        <f>'1-BaseTRR'!$G$2-1</f>
        <v>2020</v>
      </c>
      <c r="D62" s="471">
        <v>18047918</v>
      </c>
      <c r="E62" s="471">
        <v>105383723</v>
      </c>
      <c r="F62" s="471">
        <v>189108929</v>
      </c>
      <c r="G62" s="471">
        <v>65250702</v>
      </c>
      <c r="H62" s="471">
        <v>3670967578</v>
      </c>
      <c r="I62" s="471">
        <v>26850150</v>
      </c>
      <c r="J62" s="471">
        <v>423952024</v>
      </c>
      <c r="K62" s="471">
        <v>1565502631</v>
      </c>
      <c r="L62" s="471">
        <v>1312746287</v>
      </c>
      <c r="M62" s="471">
        <v>169620427</v>
      </c>
      <c r="N62" s="471">
        <v>171138833</v>
      </c>
      <c r="O62" s="471">
        <v>84969100</v>
      </c>
      <c r="P62" s="33">
        <f>SUM(D62:O62)</f>
        <v>7803538302</v>
      </c>
      <c r="Q62" s="160"/>
      <c r="R62" s="133">
        <f t="shared" ref="R62:R75" si="18">A62</f>
        <v>300</v>
      </c>
    </row>
    <row r="63" spans="1:18">
      <c r="A63" s="133">
        <f>A62+1</f>
        <v>301</v>
      </c>
      <c r="B63" s="153" t="s">
        <v>430</v>
      </c>
      <c r="C63" s="158">
        <f>'1-BaseTRR'!$G$2</f>
        <v>2021</v>
      </c>
      <c r="D63" s="471">
        <v>28577057</v>
      </c>
      <c r="E63" s="471">
        <v>106784234</v>
      </c>
      <c r="F63" s="471">
        <v>219230822</v>
      </c>
      <c r="G63" s="471">
        <v>77884037</v>
      </c>
      <c r="H63" s="471">
        <v>4669738068</v>
      </c>
      <c r="I63" s="471">
        <v>31149298</v>
      </c>
      <c r="J63" s="471">
        <v>431718481</v>
      </c>
      <c r="K63" s="471">
        <v>1692737956</v>
      </c>
      <c r="L63" s="471">
        <v>1277309432</v>
      </c>
      <c r="M63" s="471">
        <v>166713138</v>
      </c>
      <c r="N63" s="471">
        <v>164483182</v>
      </c>
      <c r="O63" s="471">
        <v>98997589</v>
      </c>
      <c r="P63" s="33">
        <f t="shared" ref="P63:P74" si="19">SUM(D63:O63)</f>
        <v>8965323294</v>
      </c>
      <c r="Q63" s="160"/>
      <c r="R63" s="133">
        <f t="shared" si="18"/>
        <v>301</v>
      </c>
    </row>
    <row r="64" spans="1:18">
      <c r="A64" s="133">
        <f t="shared" ref="A64:A75" si="20">A63+1</f>
        <v>302</v>
      </c>
      <c r="B64" s="153" t="s">
        <v>431</v>
      </c>
      <c r="C64" s="158">
        <f>'1-BaseTRR'!$G$2</f>
        <v>2021</v>
      </c>
      <c r="D64" s="471">
        <v>28578277</v>
      </c>
      <c r="E64" s="471">
        <v>106761521</v>
      </c>
      <c r="F64" s="471">
        <v>218985108</v>
      </c>
      <c r="G64" s="471">
        <v>77899499</v>
      </c>
      <c r="H64" s="471">
        <v>4673089655</v>
      </c>
      <c r="I64" s="471">
        <v>31149296</v>
      </c>
      <c r="J64" s="471">
        <v>439674191</v>
      </c>
      <c r="K64" s="471">
        <v>1714119117</v>
      </c>
      <c r="L64" s="471">
        <v>1294435847</v>
      </c>
      <c r="M64" s="471">
        <v>166714292</v>
      </c>
      <c r="N64" s="471">
        <v>164731320</v>
      </c>
      <c r="O64" s="471">
        <v>87024131</v>
      </c>
      <c r="P64" s="33">
        <f t="shared" si="19"/>
        <v>9003162254</v>
      </c>
      <c r="Q64" s="160"/>
      <c r="R64" s="133">
        <f t="shared" si="18"/>
        <v>302</v>
      </c>
    </row>
    <row r="65" spans="1:18">
      <c r="A65" s="133">
        <f t="shared" si="20"/>
        <v>303</v>
      </c>
      <c r="B65" s="153" t="s">
        <v>432</v>
      </c>
      <c r="C65" s="158">
        <f>'1-BaseTRR'!$G$2</f>
        <v>2021</v>
      </c>
      <c r="D65" s="471">
        <v>28543134</v>
      </c>
      <c r="E65" s="471">
        <v>106804438</v>
      </c>
      <c r="F65" s="471">
        <v>218545102</v>
      </c>
      <c r="G65" s="471">
        <v>77912684</v>
      </c>
      <c r="H65" s="471">
        <v>4706643701</v>
      </c>
      <c r="I65" s="471">
        <v>31149301</v>
      </c>
      <c r="J65" s="471">
        <v>441306751</v>
      </c>
      <c r="K65" s="471">
        <v>1737801028</v>
      </c>
      <c r="L65" s="471">
        <v>1321097518</v>
      </c>
      <c r="M65" s="471">
        <v>166750227</v>
      </c>
      <c r="N65" s="471">
        <v>164444294</v>
      </c>
      <c r="O65" s="471">
        <v>97319638</v>
      </c>
      <c r="P65" s="33">
        <f t="shared" si="19"/>
        <v>9098317816</v>
      </c>
      <c r="Q65" s="160"/>
      <c r="R65" s="133">
        <f t="shared" si="18"/>
        <v>303</v>
      </c>
    </row>
    <row r="66" spans="1:18">
      <c r="A66" s="133">
        <f t="shared" si="20"/>
        <v>304</v>
      </c>
      <c r="B66" s="153" t="s">
        <v>433</v>
      </c>
      <c r="C66" s="158">
        <f>'1-BaseTRR'!$G$2</f>
        <v>2021</v>
      </c>
      <c r="D66" s="471">
        <v>28552578</v>
      </c>
      <c r="E66" s="471">
        <v>116650682</v>
      </c>
      <c r="F66" s="471">
        <v>219451688</v>
      </c>
      <c r="G66" s="471">
        <v>77959553</v>
      </c>
      <c r="H66" s="471">
        <v>4704787807</v>
      </c>
      <c r="I66" s="471">
        <v>31149314</v>
      </c>
      <c r="J66" s="471">
        <v>440193343</v>
      </c>
      <c r="K66" s="471">
        <v>1762490682</v>
      </c>
      <c r="L66" s="471">
        <v>1332221344</v>
      </c>
      <c r="M66" s="471">
        <v>166756619</v>
      </c>
      <c r="N66" s="471">
        <v>164439343</v>
      </c>
      <c r="O66" s="471">
        <v>97762421</v>
      </c>
      <c r="P66" s="33">
        <f t="shared" si="19"/>
        <v>9142415374</v>
      </c>
      <c r="Q66" s="160"/>
      <c r="R66" s="133">
        <f t="shared" si="18"/>
        <v>304</v>
      </c>
    </row>
    <row r="67" spans="1:18">
      <c r="A67" s="133">
        <f t="shared" si="20"/>
        <v>305</v>
      </c>
      <c r="B67" s="153" t="s">
        <v>395</v>
      </c>
      <c r="C67" s="158">
        <f>'1-BaseTRR'!$G$2</f>
        <v>2021</v>
      </c>
      <c r="D67" s="471">
        <v>28730947</v>
      </c>
      <c r="E67" s="471">
        <v>116862683</v>
      </c>
      <c r="F67" s="471">
        <v>220007947</v>
      </c>
      <c r="G67" s="471">
        <v>78150218</v>
      </c>
      <c r="H67" s="471">
        <v>4711130725</v>
      </c>
      <c r="I67" s="471">
        <v>31149304</v>
      </c>
      <c r="J67" s="471">
        <v>495300628</v>
      </c>
      <c r="K67" s="471">
        <v>1784943132</v>
      </c>
      <c r="L67" s="471">
        <v>1340929232</v>
      </c>
      <c r="M67" s="471">
        <v>166820681</v>
      </c>
      <c r="N67" s="471">
        <v>164400502</v>
      </c>
      <c r="O67" s="471">
        <v>106096690</v>
      </c>
      <c r="P67" s="33">
        <f t="shared" si="19"/>
        <v>9244522689</v>
      </c>
      <c r="Q67" s="160"/>
      <c r="R67" s="133">
        <f t="shared" si="18"/>
        <v>305</v>
      </c>
    </row>
    <row r="68" spans="1:18">
      <c r="A68" s="133">
        <f t="shared" si="20"/>
        <v>306</v>
      </c>
      <c r="B68" s="153" t="s">
        <v>531</v>
      </c>
      <c r="C68" s="158">
        <f>'1-BaseTRR'!$G$2</f>
        <v>2021</v>
      </c>
      <c r="D68" s="471">
        <v>28678569</v>
      </c>
      <c r="E68" s="471">
        <v>116796475</v>
      </c>
      <c r="F68" s="471">
        <v>220985037</v>
      </c>
      <c r="G68" s="471">
        <v>78163147</v>
      </c>
      <c r="H68" s="471">
        <v>4701668720</v>
      </c>
      <c r="I68" s="471">
        <v>31149304</v>
      </c>
      <c r="J68" s="471">
        <v>505186255</v>
      </c>
      <c r="K68" s="471">
        <v>1811172033</v>
      </c>
      <c r="L68" s="471">
        <v>1365105543</v>
      </c>
      <c r="M68" s="471">
        <v>166844456</v>
      </c>
      <c r="N68" s="471">
        <v>164406301</v>
      </c>
      <c r="O68" s="471">
        <v>101051152</v>
      </c>
      <c r="P68" s="33">
        <f t="shared" si="19"/>
        <v>9291206992</v>
      </c>
      <c r="Q68" s="160"/>
      <c r="R68" s="133">
        <f t="shared" si="18"/>
        <v>306</v>
      </c>
    </row>
    <row r="69" spans="1:18">
      <c r="A69" s="133">
        <f t="shared" si="20"/>
        <v>307</v>
      </c>
      <c r="B69" s="153" t="s">
        <v>435</v>
      </c>
      <c r="C69" s="158">
        <f>'1-BaseTRR'!$G$2</f>
        <v>2021</v>
      </c>
      <c r="D69" s="471">
        <v>28906014</v>
      </c>
      <c r="E69" s="471">
        <v>116941812</v>
      </c>
      <c r="F69" s="471">
        <v>222341567</v>
      </c>
      <c r="G69" s="471">
        <v>77928000</v>
      </c>
      <c r="H69" s="471">
        <v>4702496131</v>
      </c>
      <c r="I69" s="471">
        <v>31156740</v>
      </c>
      <c r="J69" s="471">
        <v>494866945</v>
      </c>
      <c r="K69" s="471">
        <v>1826826691</v>
      </c>
      <c r="L69" s="471">
        <v>1365300339</v>
      </c>
      <c r="M69" s="471">
        <v>166855796</v>
      </c>
      <c r="N69" s="471">
        <v>164406674</v>
      </c>
      <c r="O69" s="471">
        <v>99984899</v>
      </c>
      <c r="P69" s="33">
        <f t="shared" si="19"/>
        <v>9298011608</v>
      </c>
      <c r="Q69" s="160"/>
      <c r="R69" s="133">
        <f t="shared" si="18"/>
        <v>307</v>
      </c>
    </row>
    <row r="70" spans="1:18">
      <c r="A70" s="133">
        <f t="shared" si="20"/>
        <v>308</v>
      </c>
      <c r="B70" s="153" t="s">
        <v>436</v>
      </c>
      <c r="C70" s="158">
        <f>'1-BaseTRR'!$G$2</f>
        <v>2021</v>
      </c>
      <c r="D70" s="471">
        <v>28580977</v>
      </c>
      <c r="E70" s="471">
        <v>117194620</v>
      </c>
      <c r="F70" s="471">
        <v>225660081</v>
      </c>
      <c r="G70" s="471">
        <v>77967045</v>
      </c>
      <c r="H70" s="471">
        <v>4706406071</v>
      </c>
      <c r="I70" s="471">
        <v>31170525</v>
      </c>
      <c r="J70" s="471">
        <v>492619122</v>
      </c>
      <c r="K70" s="471">
        <v>1838139846</v>
      </c>
      <c r="L70" s="471">
        <v>1378198325</v>
      </c>
      <c r="M70" s="471">
        <v>167680271</v>
      </c>
      <c r="N70" s="471">
        <v>165206659</v>
      </c>
      <c r="O70" s="471">
        <v>99163142</v>
      </c>
      <c r="P70" s="33">
        <f t="shared" si="19"/>
        <v>9327986684</v>
      </c>
      <c r="Q70" s="160"/>
      <c r="R70" s="133">
        <f t="shared" si="18"/>
        <v>308</v>
      </c>
    </row>
    <row r="71" spans="1:18">
      <c r="A71" s="133">
        <f t="shared" si="20"/>
        <v>309</v>
      </c>
      <c r="B71" s="153" t="s">
        <v>437</v>
      </c>
      <c r="C71" s="158">
        <f>'1-BaseTRR'!$G$2</f>
        <v>2021</v>
      </c>
      <c r="D71" s="471">
        <v>27868384</v>
      </c>
      <c r="E71" s="471">
        <v>117232352</v>
      </c>
      <c r="F71" s="471">
        <v>225702429</v>
      </c>
      <c r="G71" s="471">
        <v>75619056</v>
      </c>
      <c r="H71" s="471">
        <v>4726742415</v>
      </c>
      <c r="I71" s="471">
        <v>30224699</v>
      </c>
      <c r="J71" s="471">
        <v>493253191</v>
      </c>
      <c r="K71" s="471">
        <v>1867488188</v>
      </c>
      <c r="L71" s="471">
        <v>1385904267</v>
      </c>
      <c r="M71" s="471">
        <v>166846780</v>
      </c>
      <c r="N71" s="471">
        <v>164407615</v>
      </c>
      <c r="O71" s="471">
        <v>99997678</v>
      </c>
      <c r="P71" s="33">
        <f t="shared" si="19"/>
        <v>9381287054</v>
      </c>
      <c r="Q71" s="160"/>
      <c r="R71" s="133">
        <f t="shared" si="18"/>
        <v>309</v>
      </c>
    </row>
    <row r="72" spans="1:18">
      <c r="A72" s="133">
        <f t="shared" si="20"/>
        <v>310</v>
      </c>
      <c r="B72" s="153" t="s">
        <v>438</v>
      </c>
      <c r="C72" s="158">
        <f>'1-BaseTRR'!$G$2</f>
        <v>2021</v>
      </c>
      <c r="D72" s="471">
        <v>28094040</v>
      </c>
      <c r="E72" s="471">
        <v>117403289</v>
      </c>
      <c r="F72" s="471">
        <v>225717820</v>
      </c>
      <c r="G72" s="471">
        <v>76121494</v>
      </c>
      <c r="H72" s="471">
        <v>4733496284</v>
      </c>
      <c r="I72" s="471">
        <v>30244112</v>
      </c>
      <c r="J72" s="471">
        <v>493773083</v>
      </c>
      <c r="K72" s="471">
        <v>1891040154</v>
      </c>
      <c r="L72" s="471">
        <v>1410584773</v>
      </c>
      <c r="M72" s="471">
        <v>166862655</v>
      </c>
      <c r="N72" s="471">
        <v>164410407</v>
      </c>
      <c r="O72" s="471">
        <v>100295932</v>
      </c>
      <c r="P72" s="33">
        <f t="shared" si="19"/>
        <v>9438044043</v>
      </c>
      <c r="Q72" s="160"/>
      <c r="R72" s="133">
        <f t="shared" si="18"/>
        <v>310</v>
      </c>
    </row>
    <row r="73" spans="1:18">
      <c r="A73" s="133">
        <f t="shared" si="20"/>
        <v>311</v>
      </c>
      <c r="B73" s="153" t="s">
        <v>439</v>
      </c>
      <c r="C73" s="158">
        <f>'1-BaseTRR'!$G$2</f>
        <v>2021</v>
      </c>
      <c r="D73" s="471">
        <v>28209512</v>
      </c>
      <c r="E73" s="471">
        <v>117517933</v>
      </c>
      <c r="F73" s="471">
        <v>225740513</v>
      </c>
      <c r="G73" s="471">
        <v>76318577</v>
      </c>
      <c r="H73" s="471">
        <v>4732721091</v>
      </c>
      <c r="I73" s="471">
        <v>30249514</v>
      </c>
      <c r="J73" s="471">
        <v>495785070</v>
      </c>
      <c r="K73" s="471">
        <v>1913894893</v>
      </c>
      <c r="L73" s="471">
        <v>1426478805</v>
      </c>
      <c r="M73" s="471">
        <v>166865383</v>
      </c>
      <c r="N73" s="471">
        <v>164415945</v>
      </c>
      <c r="O73" s="471">
        <v>101263608</v>
      </c>
      <c r="P73" s="33">
        <f t="shared" si="19"/>
        <v>9479460844</v>
      </c>
      <c r="Q73" s="160"/>
      <c r="R73" s="133">
        <f t="shared" si="18"/>
        <v>311</v>
      </c>
    </row>
    <row r="74" spans="1:18">
      <c r="A74" s="133">
        <f t="shared" si="20"/>
        <v>312</v>
      </c>
      <c r="B74" s="161" t="s">
        <v>428</v>
      </c>
      <c r="C74" s="162">
        <f>'1-BaseTRR'!$G$2</f>
        <v>2021</v>
      </c>
      <c r="D74" s="472">
        <v>29727454</v>
      </c>
      <c r="E74" s="472">
        <v>108722857</v>
      </c>
      <c r="F74" s="472">
        <v>211537017</v>
      </c>
      <c r="G74" s="472">
        <v>74192763</v>
      </c>
      <c r="H74" s="472">
        <v>4718207720</v>
      </c>
      <c r="I74" s="472">
        <v>31169847</v>
      </c>
      <c r="J74" s="472">
        <v>503640176</v>
      </c>
      <c r="K74" s="472">
        <v>2017210507</v>
      </c>
      <c r="L74" s="472">
        <v>1482520771</v>
      </c>
      <c r="M74" s="472">
        <v>166938584</v>
      </c>
      <c r="N74" s="472">
        <v>164636286</v>
      </c>
      <c r="O74" s="472">
        <v>94920414</v>
      </c>
      <c r="P74" s="473">
        <f t="shared" si="19"/>
        <v>9603424396</v>
      </c>
      <c r="Q74" s="160"/>
      <c r="R74" s="133">
        <f t="shared" si="18"/>
        <v>312</v>
      </c>
    </row>
    <row r="75" spans="1:18">
      <c r="A75" s="133">
        <f t="shared" si="20"/>
        <v>313</v>
      </c>
      <c r="B75" s="546" t="s">
        <v>702</v>
      </c>
      <c r="C75" s="170"/>
      <c r="D75" s="201">
        <f>SUM(D62:D74)/13</f>
        <v>27776527.769230768</v>
      </c>
      <c r="E75" s="201">
        <f>SUM(E62:E74)/13</f>
        <v>113158201.46153846</v>
      </c>
      <c r="F75" s="201">
        <f>SUM(F62:F74)/13</f>
        <v>218693389.23076922</v>
      </c>
      <c r="G75" s="201">
        <f>SUM(G62:G74)/13</f>
        <v>76258982.692307696</v>
      </c>
      <c r="H75" s="201">
        <f t="shared" ref="H75" si="21">SUM(H62:H74)/13</f>
        <v>4627545843.5384617</v>
      </c>
      <c r="I75" s="201">
        <f t="shared" ref="I75" si="22">SUM(I62:I74)/13</f>
        <v>30612415.692307692</v>
      </c>
      <c r="J75" s="201">
        <f t="shared" ref="J75" si="23">SUM(J62:J74)/13</f>
        <v>473174558.46153843</v>
      </c>
      <c r="K75" s="201">
        <f t="shared" ref="K75" si="24">SUM(K62:K74)/13</f>
        <v>1801797450.6153846</v>
      </c>
      <c r="L75" s="201">
        <f t="shared" ref="L75" si="25">SUM(L62:L74)/13</f>
        <v>1360987114.0769231</v>
      </c>
      <c r="M75" s="201">
        <f t="shared" ref="M75" si="26">SUM(M62:M74)/13</f>
        <v>167097639.15384614</v>
      </c>
      <c r="N75" s="201">
        <f t="shared" ref="N75" si="27">SUM(N62:N74)/13</f>
        <v>165040566.23076922</v>
      </c>
      <c r="O75" s="201">
        <f t="shared" ref="O75" si="28">SUM(O62:O74)/13</f>
        <v>97603568.769230768</v>
      </c>
      <c r="P75" s="354">
        <f t="shared" ref="P75" si="29">SUM(P62:P74)/13</f>
        <v>9159746257.6923084</v>
      </c>
      <c r="Q75" s="160"/>
      <c r="R75" s="133">
        <f t="shared" si="18"/>
        <v>313</v>
      </c>
    </row>
    <row r="76" spans="1:18">
      <c r="A76" s="133"/>
      <c r="B76" s="163"/>
      <c r="C76" s="163"/>
      <c r="D76" s="20"/>
      <c r="E76" s="20"/>
      <c r="F76" s="20"/>
      <c r="G76" s="20"/>
      <c r="H76" s="20"/>
      <c r="I76" s="20"/>
      <c r="J76" s="20"/>
      <c r="K76" s="20"/>
      <c r="L76" s="20"/>
      <c r="M76" s="20"/>
      <c r="N76" s="20"/>
      <c r="R76" s="133"/>
    </row>
    <row r="77" spans="1:18">
      <c r="A77" s="133"/>
      <c r="B77" s="163"/>
      <c r="C77" s="163"/>
      <c r="D77" s="20"/>
      <c r="E77" s="20"/>
      <c r="F77" s="20"/>
      <c r="G77" s="20"/>
      <c r="H77" s="20"/>
      <c r="I77" s="20"/>
      <c r="J77" s="20"/>
      <c r="K77" s="20"/>
      <c r="L77" s="20"/>
      <c r="M77" s="20"/>
      <c r="N77" s="20"/>
      <c r="R77" s="133"/>
    </row>
    <row r="78" spans="1:18">
      <c r="B78" s="58" t="s">
        <v>709</v>
      </c>
      <c r="C78" s="58"/>
      <c r="D78" s="146"/>
      <c r="E78" s="146"/>
      <c r="F78" s="146"/>
      <c r="G78" s="55"/>
      <c r="H78" s="146"/>
      <c r="I78" s="146"/>
      <c r="J78" s="146"/>
      <c r="K78" s="146"/>
      <c r="L78" s="146"/>
      <c r="M78" s="146"/>
      <c r="N78" s="55"/>
      <c r="O78" s="55"/>
      <c r="P78" s="55"/>
      <c r="Q78" s="55"/>
    </row>
    <row r="79" spans="1:18">
      <c r="B79" s="153" t="s">
        <v>710</v>
      </c>
      <c r="C79" s="153"/>
      <c r="D79" s="153"/>
      <c r="E79" s="153"/>
      <c r="F79" s="153"/>
      <c r="G79" s="153"/>
      <c r="H79" s="153"/>
      <c r="I79" s="153"/>
      <c r="J79" s="153"/>
      <c r="K79" s="153"/>
      <c r="L79" s="153"/>
      <c r="M79" s="153"/>
      <c r="N79" s="153"/>
      <c r="O79" s="153"/>
      <c r="P79" s="153"/>
      <c r="Q79" s="153"/>
    </row>
    <row r="80" spans="1:18">
      <c r="B80" s="153"/>
      <c r="C80" s="153"/>
      <c r="D80" s="153"/>
      <c r="E80" s="153"/>
      <c r="F80" s="153"/>
      <c r="G80" s="153"/>
      <c r="H80" s="153"/>
      <c r="I80" s="153"/>
      <c r="J80" s="153"/>
      <c r="K80" s="153"/>
      <c r="L80" s="153"/>
      <c r="M80" s="153"/>
      <c r="N80" s="153"/>
      <c r="O80" s="153"/>
      <c r="P80" s="153"/>
      <c r="Q80" s="153"/>
    </row>
    <row r="81" spans="1:18">
      <c r="A81" s="8"/>
      <c r="D81" s="124" t="s">
        <v>371</v>
      </c>
      <c r="E81" s="124" t="s">
        <v>372</v>
      </c>
      <c r="F81" s="124" t="s">
        <v>373</v>
      </c>
      <c r="G81" s="124"/>
      <c r="H81" s="124"/>
      <c r="I81" s="124"/>
      <c r="J81" s="124"/>
      <c r="K81" s="124"/>
      <c r="L81" s="124"/>
      <c r="M81" s="124"/>
      <c r="N81" s="124"/>
      <c r="R81" s="133"/>
    </row>
    <row r="82" spans="1:18">
      <c r="B82" s="133"/>
      <c r="C82" s="133"/>
      <c r="D82" s="142" t="s">
        <v>711</v>
      </c>
      <c r="E82" s="156" t="s">
        <v>111</v>
      </c>
      <c r="F82" s="156" t="s">
        <v>111</v>
      </c>
      <c r="R82" s="133"/>
    </row>
    <row r="83" spans="1:18">
      <c r="B83" s="133"/>
      <c r="C83" s="133"/>
      <c r="D83" s="142"/>
      <c r="E83" s="124"/>
      <c r="R83" s="133"/>
    </row>
    <row r="84" spans="1:18">
      <c r="B84" s="133"/>
      <c r="C84" s="133"/>
      <c r="D84" s="125" t="s">
        <v>712</v>
      </c>
      <c r="E84" s="125" t="s">
        <v>713</v>
      </c>
      <c r="F84" s="125" t="s">
        <v>713</v>
      </c>
      <c r="R84" s="133"/>
    </row>
    <row r="85" spans="1:18">
      <c r="A85" s="121" t="s">
        <v>100</v>
      </c>
      <c r="B85" s="121" t="s">
        <v>384</v>
      </c>
      <c r="C85" s="121" t="s">
        <v>420</v>
      </c>
      <c r="D85" s="165" t="s">
        <v>714</v>
      </c>
      <c r="E85" s="165" t="s">
        <v>715</v>
      </c>
      <c r="F85" s="165" t="s">
        <v>716</v>
      </c>
      <c r="G85" s="124"/>
      <c r="H85" s="124"/>
      <c r="I85" s="124"/>
      <c r="J85" s="124"/>
      <c r="K85" s="124"/>
      <c r="L85" s="124"/>
      <c r="M85" s="124"/>
      <c r="N85" s="121"/>
      <c r="R85" s="121" t="str">
        <f>A85</f>
        <v>Line</v>
      </c>
    </row>
    <row r="86" spans="1:18">
      <c r="A86" s="133">
        <v>400</v>
      </c>
      <c r="B86" s="153" t="s">
        <v>428</v>
      </c>
      <c r="C86" s="158">
        <f>'1-BaseTRR'!$G$2-1</f>
        <v>2020</v>
      </c>
      <c r="D86" s="200">
        <f>+E86+F86</f>
        <v>933668339.15999973</v>
      </c>
      <c r="E86" s="471">
        <v>391924988.71774495</v>
      </c>
      <c r="F86" s="471">
        <v>541743350.44225478</v>
      </c>
      <c r="G86" s="166" t="s">
        <v>717</v>
      </c>
      <c r="H86" s="166"/>
      <c r="I86" s="166"/>
      <c r="J86" s="166"/>
      <c r="K86" s="166"/>
      <c r="L86" s="166"/>
      <c r="M86" s="166"/>
      <c r="N86" s="20"/>
      <c r="R86" s="133">
        <f>A86</f>
        <v>400</v>
      </c>
    </row>
    <row r="87" spans="1:18">
      <c r="A87" s="133">
        <f>+A86+1</f>
        <v>401</v>
      </c>
      <c r="B87" s="161" t="s">
        <v>428</v>
      </c>
      <c r="C87" s="162">
        <f>'1-BaseTRR'!$G$2</f>
        <v>2021</v>
      </c>
      <c r="D87" s="470">
        <f>+E87+F87</f>
        <v>985786308.14000034</v>
      </c>
      <c r="E87" s="472">
        <v>344220571.70387566</v>
      </c>
      <c r="F87" s="472">
        <v>641565736.43612468</v>
      </c>
      <c r="G87" s="166" t="s">
        <v>718</v>
      </c>
      <c r="H87" s="167"/>
      <c r="I87" s="167"/>
      <c r="J87" s="167"/>
      <c r="K87" s="167"/>
      <c r="L87" s="167"/>
      <c r="M87" s="167"/>
      <c r="N87" s="167"/>
      <c r="R87" s="133">
        <f>A87</f>
        <v>401</v>
      </c>
    </row>
    <row r="88" spans="1:18">
      <c r="A88" s="133">
        <f t="shared" ref="A88" si="30">A87+1</f>
        <v>402</v>
      </c>
      <c r="B88" s="170" t="s">
        <v>719</v>
      </c>
      <c r="C88" s="170"/>
      <c r="D88" s="488">
        <f>AVERAGE(D86:D87)</f>
        <v>959727323.6500001</v>
      </c>
      <c r="E88" s="488">
        <f t="shared" ref="E88:F88" si="31">AVERAGE(E86:E87)</f>
        <v>368072780.2108103</v>
      </c>
      <c r="F88" s="488">
        <f t="shared" si="31"/>
        <v>591654543.43918967</v>
      </c>
      <c r="G88" s="20" t="s">
        <v>720</v>
      </c>
      <c r="H88" s="20"/>
      <c r="I88" s="20"/>
      <c r="J88" s="20"/>
      <c r="K88" s="20"/>
      <c r="L88" s="20"/>
      <c r="M88" s="20"/>
      <c r="N88" s="20"/>
      <c r="R88" s="133">
        <f>A88</f>
        <v>402</v>
      </c>
    </row>
    <row r="89" spans="1:18">
      <c r="A89" s="133"/>
      <c r="B89" s="163"/>
      <c r="C89" s="163"/>
      <c r="D89" s="20"/>
      <c r="E89" s="20"/>
      <c r="F89" s="20"/>
      <c r="G89" s="20"/>
      <c r="H89" s="20"/>
      <c r="I89" s="20"/>
      <c r="J89" s="20"/>
      <c r="K89" s="20"/>
      <c r="L89" s="20"/>
      <c r="M89" s="20"/>
      <c r="N89" s="20"/>
      <c r="R89" s="133"/>
    </row>
    <row r="90" spans="1:18">
      <c r="A90" s="133"/>
      <c r="B90" s="163"/>
      <c r="C90" s="163"/>
      <c r="D90" s="20"/>
      <c r="E90" s="20"/>
      <c r="F90" s="20"/>
      <c r="G90" s="20"/>
      <c r="H90" s="20"/>
      <c r="I90" s="20"/>
      <c r="J90" s="20"/>
      <c r="K90" s="20"/>
      <c r="L90" s="20"/>
      <c r="M90" s="20"/>
      <c r="N90" s="20"/>
      <c r="R90" s="133"/>
    </row>
    <row r="91" spans="1:18">
      <c r="B91" s="58" t="s">
        <v>721</v>
      </c>
      <c r="C91" s="58"/>
      <c r="D91" s="146"/>
      <c r="E91" s="146"/>
      <c r="F91" s="146"/>
      <c r="G91" s="146"/>
      <c r="H91" s="146"/>
      <c r="I91" s="55"/>
      <c r="J91" s="146"/>
      <c r="K91" s="146"/>
      <c r="L91" s="146"/>
      <c r="M91" s="146"/>
      <c r="N91" s="55"/>
      <c r="O91" s="55"/>
      <c r="P91" s="55"/>
      <c r="Q91" s="55"/>
    </row>
    <row r="92" spans="1:18">
      <c r="A92" s="27"/>
      <c r="B92" s="153" t="s">
        <v>722</v>
      </c>
      <c r="C92" s="153"/>
      <c r="D92" s="153"/>
      <c r="E92" s="153"/>
      <c r="F92" s="153"/>
      <c r="G92" s="153"/>
      <c r="H92" s="153"/>
      <c r="I92" s="153"/>
      <c r="J92" s="153"/>
      <c r="K92" s="153"/>
      <c r="L92" s="153"/>
      <c r="M92" s="153"/>
      <c r="N92" s="153"/>
      <c r="O92" s="153"/>
      <c r="P92" s="153"/>
      <c r="Q92" s="153"/>
      <c r="R92" s="133"/>
    </row>
    <row r="93" spans="1:18">
      <c r="A93" s="27"/>
      <c r="B93" s="17"/>
      <c r="C93" s="17"/>
      <c r="D93" s="17"/>
      <c r="E93" s="17"/>
      <c r="F93" s="17"/>
      <c r="G93" s="17"/>
      <c r="H93" s="17"/>
      <c r="I93" s="17"/>
      <c r="J93" s="17"/>
      <c r="K93" s="17"/>
      <c r="L93" s="17"/>
      <c r="M93" s="17"/>
      <c r="R93" s="133"/>
    </row>
    <row r="94" spans="1:18">
      <c r="A94" s="8"/>
      <c r="D94" s="124" t="s">
        <v>371</v>
      </c>
      <c r="E94" s="124" t="s">
        <v>372</v>
      </c>
      <c r="F94" s="124" t="s">
        <v>373</v>
      </c>
      <c r="G94" s="124" t="s">
        <v>374</v>
      </c>
      <c r="H94" s="124" t="s">
        <v>375</v>
      </c>
      <c r="I94" s="124"/>
      <c r="J94" s="124"/>
      <c r="K94" s="124"/>
      <c r="L94" s="124"/>
      <c r="M94" s="124"/>
      <c r="N94" s="124"/>
      <c r="R94" s="133"/>
    </row>
    <row r="95" spans="1:18" ht="29">
      <c r="B95" s="133"/>
      <c r="C95" s="133"/>
      <c r="D95" s="156" t="s">
        <v>203</v>
      </c>
      <c r="E95" s="156" t="s">
        <v>723</v>
      </c>
      <c r="F95" s="168" t="s">
        <v>724</v>
      </c>
      <c r="G95" s="156" t="s">
        <v>725</v>
      </c>
      <c r="H95" s="156" t="s">
        <v>726</v>
      </c>
      <c r="R95" s="133"/>
    </row>
    <row r="96" spans="1:18">
      <c r="B96" s="133"/>
      <c r="C96" s="133"/>
      <c r="D96" s="124"/>
      <c r="F96" s="142"/>
      <c r="G96" s="5"/>
      <c r="H96" s="5"/>
      <c r="R96" s="133"/>
    </row>
    <row r="97" spans="1:18">
      <c r="B97" s="133"/>
      <c r="C97" s="133"/>
      <c r="D97" s="125"/>
      <c r="E97" s="8" t="s">
        <v>727</v>
      </c>
      <c r="F97" s="8" t="s">
        <v>727</v>
      </c>
      <c r="G97" s="8"/>
      <c r="H97" s="4"/>
      <c r="R97" s="133"/>
    </row>
    <row r="98" spans="1:18">
      <c r="B98" s="133"/>
      <c r="C98" s="133"/>
      <c r="D98" s="125" t="s">
        <v>728</v>
      </c>
      <c r="E98" s="8" t="s">
        <v>385</v>
      </c>
      <c r="F98" s="8" t="s">
        <v>385</v>
      </c>
      <c r="G98" s="4" t="s">
        <v>715</v>
      </c>
      <c r="H98" s="4" t="s">
        <v>716</v>
      </c>
      <c r="R98" s="133"/>
    </row>
    <row r="99" spans="1:18">
      <c r="A99" s="121" t="s">
        <v>100</v>
      </c>
      <c r="B99" s="121" t="s">
        <v>384</v>
      </c>
      <c r="C99" s="121" t="s">
        <v>420</v>
      </c>
      <c r="D99" s="169" t="s">
        <v>729</v>
      </c>
      <c r="E99" s="169" t="s">
        <v>730</v>
      </c>
      <c r="F99" s="165" t="s">
        <v>731</v>
      </c>
      <c r="G99" s="165" t="s">
        <v>731</v>
      </c>
      <c r="H99" s="165" t="s">
        <v>731</v>
      </c>
      <c r="I99" s="124"/>
      <c r="J99" s="124"/>
      <c r="K99" s="124"/>
      <c r="L99" s="124"/>
      <c r="M99" s="124"/>
      <c r="N99" s="121"/>
      <c r="R99" s="121" t="str">
        <f>A99</f>
        <v>Line</v>
      </c>
    </row>
    <row r="100" spans="1:18">
      <c r="A100" s="133">
        <v>500</v>
      </c>
      <c r="B100" s="153" t="s">
        <v>428</v>
      </c>
      <c r="C100" s="158">
        <f>'1-BaseTRR'!$G$2-1</f>
        <v>2020</v>
      </c>
      <c r="D100" s="471">
        <v>3477057482.269999</v>
      </c>
      <c r="E100" s="31">
        <f>'24-Allocators'!$C$24</f>
        <v>0.10327848903946341</v>
      </c>
      <c r="F100" s="459">
        <f>+E100*D100</f>
        <v>359105243.07220632</v>
      </c>
      <c r="G100" s="474">
        <f>+F100*'24-Allocators'!$C$43</f>
        <v>126712489.06900647</v>
      </c>
      <c r="H100" s="474">
        <f>+F100*'24-Allocators'!$C$44</f>
        <v>232392754.00319985</v>
      </c>
      <c r="I100" s="166" t="s">
        <v>732</v>
      </c>
      <c r="J100" s="166"/>
      <c r="K100" s="166"/>
      <c r="L100" s="166"/>
      <c r="M100" s="166"/>
      <c r="N100" s="20"/>
      <c r="R100" s="133">
        <f t="shared" ref="R100:R102" si="32">A100</f>
        <v>500</v>
      </c>
    </row>
    <row r="101" spans="1:18">
      <c r="A101" s="133">
        <f>+A100+1</f>
        <v>501</v>
      </c>
      <c r="B101" s="161" t="s">
        <v>428</v>
      </c>
      <c r="C101" s="162">
        <f>'1-BaseTRR'!$G$2</f>
        <v>2021</v>
      </c>
      <c r="D101" s="475">
        <v>3180271854.7399998</v>
      </c>
      <c r="E101" s="41">
        <f>'24-Allocators'!$C$24</f>
        <v>0.10327848903946341</v>
      </c>
      <c r="F101" s="470">
        <f>+E101*D101</f>
        <v>328453671.89227903</v>
      </c>
      <c r="G101" s="470">
        <f>+F101*'24-Allocators'!$C$43</f>
        <v>115896894.05051921</v>
      </c>
      <c r="H101" s="470">
        <f>+F101*'24-Allocators'!$C$44</f>
        <v>212556777.84175983</v>
      </c>
      <c r="I101" s="166" t="s">
        <v>733</v>
      </c>
      <c r="J101" s="167"/>
      <c r="K101" s="167"/>
      <c r="L101" s="167"/>
      <c r="M101" s="167"/>
      <c r="N101" s="167"/>
      <c r="R101" s="133">
        <f t="shared" si="32"/>
        <v>501</v>
      </c>
    </row>
    <row r="102" spans="1:18">
      <c r="A102" s="133">
        <f t="shared" ref="A102" si="33">A101+1</f>
        <v>502</v>
      </c>
      <c r="B102" s="170" t="s">
        <v>719</v>
      </c>
      <c r="C102" s="170"/>
      <c r="D102" s="488">
        <f>AVERAGE(D100:D101)</f>
        <v>3328664668.5049992</v>
      </c>
      <c r="E102" s="12"/>
      <c r="F102" s="488">
        <f>AVERAGE(F100:F101)</f>
        <v>343779457.4822427</v>
      </c>
      <c r="G102" s="488">
        <f t="shared" ref="G102:H102" si="34">AVERAGE(G100:G101)</f>
        <v>121304691.55976284</v>
      </c>
      <c r="H102" s="488">
        <f t="shared" si="34"/>
        <v>222474765.92247984</v>
      </c>
      <c r="I102" s="20" t="s">
        <v>734</v>
      </c>
      <c r="J102" s="20"/>
      <c r="K102" s="20"/>
      <c r="L102" s="20"/>
      <c r="M102" s="20"/>
      <c r="N102" s="20"/>
      <c r="R102" s="133">
        <f t="shared" si="32"/>
        <v>502</v>
      </c>
    </row>
    <row r="103" spans="1:18">
      <c r="A103" s="133"/>
      <c r="B103" s="153"/>
      <c r="C103" s="153"/>
      <c r="D103" s="20"/>
      <c r="E103" s="20"/>
      <c r="F103" s="20"/>
      <c r="G103" s="20"/>
      <c r="H103" s="20"/>
      <c r="I103" s="20"/>
      <c r="J103" s="20"/>
      <c r="K103" s="20"/>
      <c r="L103" s="20"/>
      <c r="M103" s="20"/>
      <c r="N103" s="20"/>
      <c r="R103" s="133"/>
    </row>
    <row r="104" spans="1:18">
      <c r="A104" s="133"/>
      <c r="B104" s="153"/>
      <c r="C104" s="153"/>
      <c r="D104" s="20"/>
      <c r="E104" s="20"/>
      <c r="F104" s="20"/>
      <c r="G104" s="20"/>
      <c r="H104" s="20"/>
      <c r="I104" s="20"/>
      <c r="J104" s="20"/>
      <c r="K104" s="20"/>
      <c r="L104" s="20"/>
      <c r="M104" s="20"/>
      <c r="N104" s="20"/>
      <c r="R104" s="133"/>
    </row>
    <row r="105" spans="1:18">
      <c r="B105" s="58" t="s">
        <v>735</v>
      </c>
      <c r="C105" s="58"/>
      <c r="D105" s="146"/>
      <c r="E105" s="146"/>
      <c r="F105" s="146"/>
      <c r="G105" s="146"/>
      <c r="H105" s="146"/>
      <c r="I105" s="55"/>
      <c r="J105" s="60"/>
      <c r="K105" s="60"/>
      <c r="L105" s="60"/>
      <c r="M105" s="60"/>
      <c r="N105" s="60"/>
      <c r="O105" s="55"/>
      <c r="P105" s="55"/>
      <c r="Q105" s="55"/>
    </row>
    <row r="106" spans="1:18">
      <c r="A106" s="27"/>
      <c r="B106" s="153" t="s">
        <v>736</v>
      </c>
      <c r="C106" s="153"/>
      <c r="D106" s="153"/>
      <c r="E106" s="153"/>
      <c r="F106" s="153"/>
      <c r="G106" s="153"/>
      <c r="H106" s="153"/>
      <c r="I106" s="153"/>
      <c r="J106" s="153"/>
      <c r="K106" s="153"/>
      <c r="L106" s="153"/>
      <c r="M106" s="153"/>
      <c r="N106" s="153"/>
      <c r="O106" s="153"/>
      <c r="P106" s="153"/>
      <c r="Q106" s="153"/>
      <c r="R106" s="133"/>
    </row>
    <row r="107" spans="1:18">
      <c r="A107" s="27"/>
      <c r="B107" s="153"/>
      <c r="C107" s="153"/>
      <c r="D107" s="153"/>
      <c r="E107" s="153"/>
      <c r="F107" s="153"/>
      <c r="G107" s="153"/>
      <c r="H107" s="153"/>
      <c r="I107" s="153"/>
      <c r="J107" s="153"/>
      <c r="K107" s="153"/>
      <c r="L107" s="153"/>
      <c r="M107" s="153"/>
      <c r="N107" s="153"/>
      <c r="O107" s="153"/>
      <c r="P107" s="153"/>
      <c r="Q107" s="153"/>
      <c r="R107" s="133"/>
    </row>
    <row r="108" spans="1:18">
      <c r="A108" s="8"/>
      <c r="D108" s="124" t="s">
        <v>371</v>
      </c>
      <c r="E108" s="124" t="s">
        <v>372</v>
      </c>
      <c r="F108" s="124" t="s">
        <v>373</v>
      </c>
      <c r="G108" s="124" t="s">
        <v>374</v>
      </c>
      <c r="H108" s="124" t="s">
        <v>375</v>
      </c>
      <c r="I108" s="20"/>
      <c r="J108" s="20"/>
      <c r="K108" s="20"/>
      <c r="L108" s="20"/>
      <c r="M108" s="20"/>
      <c r="N108" s="20"/>
      <c r="R108" s="133"/>
    </row>
    <row r="109" spans="1:18" ht="29">
      <c r="B109" s="133"/>
      <c r="C109" s="133"/>
      <c r="D109" s="156" t="s">
        <v>251</v>
      </c>
      <c r="E109" s="156" t="s">
        <v>737</v>
      </c>
      <c r="F109" s="168" t="s">
        <v>724</v>
      </c>
      <c r="G109" s="156" t="s">
        <v>725</v>
      </c>
      <c r="H109" s="156" t="s">
        <v>726</v>
      </c>
      <c r="I109" s="20"/>
      <c r="J109" s="20"/>
      <c r="K109" s="20"/>
      <c r="L109" s="20"/>
      <c r="M109" s="20"/>
      <c r="N109" s="20"/>
      <c r="R109" s="133"/>
    </row>
    <row r="110" spans="1:18">
      <c r="B110" s="133"/>
      <c r="C110" s="133"/>
      <c r="D110" s="124"/>
      <c r="F110" s="142"/>
      <c r="G110" s="5"/>
      <c r="H110" s="5"/>
      <c r="I110" s="20"/>
      <c r="J110" s="20"/>
      <c r="K110" s="20"/>
      <c r="L110" s="20"/>
      <c r="M110" s="20"/>
      <c r="N110" s="20"/>
      <c r="R110" s="133"/>
    </row>
    <row r="111" spans="1:18">
      <c r="B111" s="133"/>
      <c r="C111" s="133"/>
      <c r="D111" s="124"/>
      <c r="E111" s="8" t="s">
        <v>727</v>
      </c>
      <c r="F111" s="8" t="s">
        <v>727</v>
      </c>
      <c r="G111" s="8"/>
      <c r="H111" s="4"/>
      <c r="I111" s="20"/>
      <c r="J111" s="20"/>
      <c r="K111" s="20"/>
      <c r="L111" s="20"/>
      <c r="M111" s="20"/>
      <c r="N111" s="20"/>
      <c r="R111" s="133"/>
    </row>
    <row r="112" spans="1:18">
      <c r="B112" s="133"/>
      <c r="C112" s="133"/>
      <c r="D112" s="125" t="s">
        <v>738</v>
      </c>
      <c r="E112" s="8" t="s">
        <v>385</v>
      </c>
      <c r="F112" s="8" t="s">
        <v>385</v>
      </c>
      <c r="G112" s="4" t="s">
        <v>715</v>
      </c>
      <c r="H112" s="4" t="s">
        <v>716</v>
      </c>
      <c r="I112" s="20"/>
      <c r="J112" s="20"/>
      <c r="K112" s="20"/>
      <c r="L112" s="20"/>
      <c r="M112" s="20"/>
      <c r="N112" s="20"/>
      <c r="R112" s="133"/>
    </row>
    <row r="113" spans="1:18">
      <c r="A113" s="121" t="s">
        <v>100</v>
      </c>
      <c r="B113" s="121" t="s">
        <v>384</v>
      </c>
      <c r="C113" s="121" t="s">
        <v>420</v>
      </c>
      <c r="D113" s="169" t="s">
        <v>729</v>
      </c>
      <c r="E113" s="169" t="s">
        <v>730</v>
      </c>
      <c r="F113" s="165" t="s">
        <v>731</v>
      </c>
      <c r="G113" s="165" t="s">
        <v>731</v>
      </c>
      <c r="H113" s="165" t="s">
        <v>731</v>
      </c>
      <c r="I113" s="20"/>
      <c r="J113" s="20"/>
      <c r="K113" s="20"/>
      <c r="L113" s="20"/>
      <c r="M113" s="20"/>
      <c r="N113" s="20"/>
      <c r="R113" s="121" t="str">
        <f>A113</f>
        <v>Line</v>
      </c>
    </row>
    <row r="114" spans="1:18">
      <c r="A114" s="133">
        <v>600</v>
      </c>
      <c r="B114" s="153" t="s">
        <v>428</v>
      </c>
      <c r="C114" s="158">
        <f>'1-BaseTRR'!$G$2-1</f>
        <v>2020</v>
      </c>
      <c r="D114" s="471">
        <v>208887972.34</v>
      </c>
      <c r="E114" s="31">
        <f>'24-Allocators'!$C$23</f>
        <v>0.14690087374748809</v>
      </c>
      <c r="F114" s="200">
        <f>+D114*E114</f>
        <v>30685825.652087126</v>
      </c>
      <c r="G114" s="474">
        <f>+F114*'24-Allocators'!$C$43</f>
        <v>10827681.919229738</v>
      </c>
      <c r="H114" s="474">
        <f>+F114*'24-Allocators'!$C$44</f>
        <v>19858143.732857391</v>
      </c>
      <c r="I114" s="166" t="s">
        <v>739</v>
      </c>
      <c r="J114" s="20"/>
      <c r="K114" s="20"/>
      <c r="L114" s="20"/>
      <c r="M114" s="20"/>
      <c r="N114" s="20"/>
      <c r="R114" s="133">
        <f t="shared" ref="R114:R116" si="35">A114</f>
        <v>600</v>
      </c>
    </row>
    <row r="115" spans="1:18">
      <c r="A115" s="133">
        <f>+A114+1</f>
        <v>601</v>
      </c>
      <c r="B115" s="161" t="s">
        <v>428</v>
      </c>
      <c r="C115" s="162">
        <f>'1-BaseTRR'!$G$2</f>
        <v>2021</v>
      </c>
      <c r="D115" s="475">
        <v>228511816.55000007</v>
      </c>
      <c r="E115" s="41">
        <f>'24-Allocators'!$C$23</f>
        <v>0.14690087374748809</v>
      </c>
      <c r="F115" s="470">
        <f>+D115*E115</f>
        <v>33568585.512820721</v>
      </c>
      <c r="G115" s="470">
        <f>+F115*'24-Allocators'!$C$43</f>
        <v>11844881.4293698</v>
      </c>
      <c r="H115" s="470">
        <f>+F115*'24-Allocators'!$C$44</f>
        <v>21723704.083450921</v>
      </c>
      <c r="I115" s="166" t="s">
        <v>740</v>
      </c>
      <c r="J115" s="20"/>
      <c r="K115" s="20"/>
      <c r="L115" s="20"/>
      <c r="M115" s="20"/>
      <c r="N115" s="20"/>
      <c r="R115" s="133">
        <f t="shared" si="35"/>
        <v>601</v>
      </c>
    </row>
    <row r="116" spans="1:18">
      <c r="A116" s="133">
        <f t="shared" ref="A116" si="36">A115+1</f>
        <v>602</v>
      </c>
      <c r="B116" s="170" t="s">
        <v>719</v>
      </c>
      <c r="C116" s="170"/>
      <c r="D116" s="488">
        <f>AVERAGE(D114:D115)</f>
        <v>218699894.44500005</v>
      </c>
      <c r="E116" s="12"/>
      <c r="F116" s="488">
        <f>AVERAGE(F114:F115)</f>
        <v>32127205.582453921</v>
      </c>
      <c r="G116" s="488">
        <f t="shared" ref="G116:H116" si="37">AVERAGE(G114:G115)</f>
        <v>11336281.674299769</v>
      </c>
      <c r="H116" s="488">
        <f t="shared" si="37"/>
        <v>20790923.908154156</v>
      </c>
      <c r="I116" s="20" t="s">
        <v>741</v>
      </c>
      <c r="J116" s="20"/>
      <c r="K116" s="20"/>
      <c r="L116" s="20"/>
      <c r="M116" s="20"/>
      <c r="N116" s="20"/>
      <c r="R116" s="133">
        <f t="shared" si="35"/>
        <v>602</v>
      </c>
    </row>
    <row r="117" spans="1:18">
      <c r="A117" s="133"/>
      <c r="B117" s="153"/>
      <c r="C117" s="153"/>
      <c r="D117" s="20"/>
      <c r="E117" s="20"/>
      <c r="F117" s="20"/>
      <c r="G117" s="20"/>
      <c r="H117" s="20"/>
      <c r="I117" s="20"/>
      <c r="J117" s="20"/>
      <c r="K117" s="20"/>
      <c r="L117" s="20"/>
      <c r="M117" s="20"/>
      <c r="N117" s="20"/>
      <c r="R117" s="133"/>
    </row>
    <row r="118" spans="1:18">
      <c r="A118" s="133"/>
      <c r="B118" s="153"/>
      <c r="C118" s="153"/>
      <c r="D118" s="20"/>
      <c r="E118" s="20"/>
      <c r="F118" s="20"/>
      <c r="G118" s="20"/>
      <c r="H118" s="20"/>
      <c r="I118" s="20"/>
      <c r="J118" s="20"/>
      <c r="K118" s="20"/>
      <c r="L118" s="20"/>
      <c r="M118" s="20"/>
      <c r="N118" s="20"/>
      <c r="R118" s="133"/>
    </row>
    <row r="119" spans="1:18">
      <c r="B119" s="58" t="s">
        <v>742</v>
      </c>
      <c r="C119" s="58"/>
      <c r="D119" s="146"/>
      <c r="E119" s="146"/>
      <c r="F119" s="146"/>
      <c r="G119" s="146"/>
      <c r="H119" s="146"/>
      <c r="I119" s="55"/>
      <c r="J119" s="55"/>
      <c r="K119" s="146"/>
      <c r="L119" s="146"/>
      <c r="M119" s="146"/>
      <c r="N119" s="55"/>
      <c r="O119" s="55"/>
      <c r="P119" s="55"/>
      <c r="Q119" s="55"/>
    </row>
    <row r="120" spans="1:18">
      <c r="A120" s="27"/>
      <c r="B120" s="153" t="s">
        <v>743</v>
      </c>
      <c r="C120" s="153"/>
      <c r="D120" s="153"/>
      <c r="E120" s="153"/>
      <c r="F120" s="153"/>
      <c r="G120" s="153"/>
      <c r="H120" s="153"/>
      <c r="I120" s="153"/>
      <c r="J120" s="153"/>
      <c r="K120" s="153"/>
      <c r="L120" s="153"/>
      <c r="M120" s="153"/>
      <c r="N120" s="153"/>
      <c r="O120" s="153"/>
      <c r="P120" s="153"/>
      <c r="Q120" s="153"/>
      <c r="R120" s="133"/>
    </row>
    <row r="121" spans="1:18">
      <c r="A121" s="27"/>
      <c r="C121" s="17"/>
      <c r="D121" s="17"/>
      <c r="E121" s="17"/>
      <c r="F121" s="17"/>
      <c r="G121" s="17"/>
      <c r="H121" s="17"/>
      <c r="I121" s="17"/>
      <c r="J121" s="17"/>
      <c r="K121" s="17"/>
      <c r="L121" s="17"/>
      <c r="M121" s="17"/>
      <c r="R121" s="133"/>
    </row>
    <row r="122" spans="1:18">
      <c r="A122" s="8"/>
      <c r="D122" s="124" t="s">
        <v>371</v>
      </c>
      <c r="E122" s="124" t="s">
        <v>372</v>
      </c>
      <c r="F122" s="124" t="s">
        <v>373</v>
      </c>
      <c r="G122" s="124"/>
      <c r="H122" s="124"/>
      <c r="I122" s="124"/>
      <c r="J122" s="124"/>
      <c r="K122" s="124"/>
      <c r="L122" s="124"/>
      <c r="M122" s="124"/>
      <c r="N122" s="124"/>
      <c r="R122" s="133"/>
    </row>
    <row r="123" spans="1:18" ht="29">
      <c r="B123" s="133"/>
      <c r="C123" s="133"/>
      <c r="D123" s="156" t="s">
        <v>744</v>
      </c>
      <c r="E123" s="156" t="s">
        <v>744</v>
      </c>
      <c r="F123" s="156" t="s">
        <v>744</v>
      </c>
      <c r="R123" s="133"/>
    </row>
    <row r="124" spans="1:18">
      <c r="B124" s="133"/>
      <c r="C124" s="133"/>
      <c r="D124" s="125"/>
      <c r="E124" s="124"/>
      <c r="R124" s="133"/>
    </row>
    <row r="125" spans="1:18">
      <c r="B125" s="133"/>
      <c r="C125" s="133"/>
      <c r="D125" s="8" t="s">
        <v>745</v>
      </c>
      <c r="E125" s="4" t="s">
        <v>746</v>
      </c>
      <c r="F125" s="4" t="s">
        <v>747</v>
      </c>
      <c r="R125" s="133"/>
    </row>
    <row r="126" spans="1:18">
      <c r="A126" s="121" t="s">
        <v>100</v>
      </c>
      <c r="B126" s="121" t="s">
        <v>384</v>
      </c>
      <c r="C126" s="121" t="s">
        <v>420</v>
      </c>
      <c r="D126" s="13" t="s">
        <v>748</v>
      </c>
      <c r="E126" s="165" t="s">
        <v>749</v>
      </c>
      <c r="F126" s="165" t="s">
        <v>749</v>
      </c>
      <c r="G126" s="124" t="s">
        <v>135</v>
      </c>
      <c r="H126" s="124"/>
      <c r="I126" s="124"/>
      <c r="J126" s="124"/>
      <c r="K126" s="124"/>
      <c r="L126" s="124"/>
      <c r="M126" s="124"/>
      <c r="N126" s="121"/>
      <c r="R126" s="121" t="str">
        <f>A126</f>
        <v>Line</v>
      </c>
    </row>
    <row r="127" spans="1:18">
      <c r="A127" s="133">
        <v>700</v>
      </c>
      <c r="B127" s="153" t="s">
        <v>428</v>
      </c>
      <c r="C127" s="158">
        <f>'1-BaseTRR'!$G$2-1</f>
        <v>2020</v>
      </c>
      <c r="D127" s="200">
        <f t="shared" ref="D127:F128" si="38">+D86+F100+F114</f>
        <v>1323459407.8842933</v>
      </c>
      <c r="E127" s="200">
        <f t="shared" si="38"/>
        <v>529465159.70598114</v>
      </c>
      <c r="F127" s="200">
        <f t="shared" si="38"/>
        <v>793994248.17831194</v>
      </c>
      <c r="G127" s="166" t="s">
        <v>750</v>
      </c>
      <c r="H127" s="166"/>
      <c r="I127" s="166"/>
      <c r="J127" s="166"/>
      <c r="K127" s="166"/>
      <c r="L127" s="166"/>
      <c r="M127" s="166"/>
      <c r="N127" s="20"/>
      <c r="R127" s="133">
        <f t="shared" ref="R127:R129" si="39">A127</f>
        <v>700</v>
      </c>
    </row>
    <row r="128" spans="1:18">
      <c r="A128" s="133">
        <f>+A127+1</f>
        <v>701</v>
      </c>
      <c r="B128" s="161" t="s">
        <v>428</v>
      </c>
      <c r="C128" s="162">
        <f>'1-BaseTRR'!$G$2</f>
        <v>2021</v>
      </c>
      <c r="D128" s="470">
        <f t="shared" si="38"/>
        <v>1347808565.5451002</v>
      </c>
      <c r="E128" s="470">
        <f t="shared" si="38"/>
        <v>471962347.1837647</v>
      </c>
      <c r="F128" s="470">
        <f t="shared" si="38"/>
        <v>875846218.3613354</v>
      </c>
      <c r="G128" s="166" t="s">
        <v>751</v>
      </c>
      <c r="H128" s="167"/>
      <c r="I128" s="167"/>
      <c r="J128" s="167"/>
      <c r="K128" s="167"/>
      <c r="L128" s="167"/>
      <c r="M128" s="167"/>
      <c r="N128" s="167"/>
      <c r="R128" s="133">
        <f t="shared" si="39"/>
        <v>701</v>
      </c>
    </row>
    <row r="129" spans="1:18">
      <c r="A129" s="133">
        <f t="shared" ref="A129" si="40">A128+1</f>
        <v>702</v>
      </c>
      <c r="B129" s="170" t="s">
        <v>719</v>
      </c>
      <c r="C129" s="170"/>
      <c r="D129" s="488">
        <f>AVERAGE(D127:D128)</f>
        <v>1335633986.7146969</v>
      </c>
      <c r="E129" s="488">
        <f t="shared" ref="E129:F129" si="41">AVERAGE(E127:E128)</f>
        <v>500713753.44487292</v>
      </c>
      <c r="F129" s="488">
        <f t="shared" si="41"/>
        <v>834920233.26982367</v>
      </c>
      <c r="G129" s="20" t="s">
        <v>752</v>
      </c>
      <c r="H129" s="20"/>
      <c r="I129" s="20"/>
      <c r="J129" s="20"/>
      <c r="K129" s="20"/>
      <c r="L129" s="20"/>
      <c r="M129" s="20"/>
      <c r="N129" s="20"/>
      <c r="R129" s="133">
        <f t="shared" si="39"/>
        <v>702</v>
      </c>
    </row>
    <row r="130" spans="1:18">
      <c r="A130" s="133"/>
      <c r="B130" s="163"/>
      <c r="C130" s="163"/>
      <c r="D130" s="20"/>
      <c r="E130" s="20"/>
      <c r="F130" s="20"/>
      <c r="G130" s="20"/>
      <c r="H130" s="20"/>
      <c r="I130" s="20"/>
      <c r="J130" s="20"/>
      <c r="K130" s="20"/>
      <c r="L130" s="20"/>
      <c r="M130" s="20"/>
      <c r="N130" s="20"/>
    </row>
    <row r="131" spans="1:18">
      <c r="A131" s="133"/>
      <c r="C131" s="163"/>
      <c r="D131" s="20"/>
      <c r="E131" s="20"/>
      <c r="F131" s="20"/>
      <c r="G131" s="20"/>
      <c r="H131" s="20"/>
      <c r="I131" s="20"/>
      <c r="J131" s="20"/>
      <c r="K131" s="20"/>
      <c r="L131" s="20"/>
      <c r="M131" s="20"/>
      <c r="N131" s="20"/>
    </row>
    <row r="132" spans="1:18">
      <c r="B132" s="16" t="s">
        <v>306</v>
      </c>
      <c r="C132" s="170"/>
      <c r="D132" s="20"/>
      <c r="E132" s="20"/>
      <c r="F132" s="20"/>
      <c r="G132" s="20"/>
      <c r="H132" s="20"/>
      <c r="I132" s="20"/>
      <c r="J132" s="20"/>
      <c r="K132" s="20"/>
      <c r="L132" s="20"/>
      <c r="M132" s="20"/>
      <c r="N132" s="20"/>
    </row>
    <row r="133" spans="1:18" ht="15" customHeight="1">
      <c r="B133" s="415" t="s">
        <v>753</v>
      </c>
      <c r="C133" s="415"/>
      <c r="D133" s="415"/>
      <c r="E133" s="415"/>
      <c r="F133" s="415"/>
      <c r="G133" s="415"/>
      <c r="H133" s="415"/>
      <c r="I133" s="415"/>
      <c r="J133" s="415"/>
      <c r="K133" s="415"/>
      <c r="L133" s="415"/>
      <c r="M133" s="415"/>
      <c r="N133" s="45"/>
      <c r="O133" s="45"/>
      <c r="P133" s="45"/>
      <c r="Q133" s="6"/>
    </row>
    <row r="134" spans="1:18">
      <c r="A134" s="133"/>
      <c r="B134" s="415" t="s">
        <v>754</v>
      </c>
      <c r="C134" s="415"/>
      <c r="D134" s="415"/>
      <c r="E134" s="415"/>
      <c r="F134" s="415"/>
      <c r="G134" s="415"/>
      <c r="H134" s="415"/>
      <c r="I134" s="415"/>
      <c r="J134" s="415"/>
      <c r="K134" s="415"/>
      <c r="L134" s="415"/>
      <c r="M134" s="415"/>
      <c r="N134" s="124"/>
      <c r="O134" s="124"/>
    </row>
    <row r="135" spans="1:18">
      <c r="B135" s="415" t="s">
        <v>755</v>
      </c>
      <c r="C135" s="415"/>
      <c r="D135" s="415"/>
      <c r="E135" s="415"/>
      <c r="F135" s="415"/>
      <c r="G135" s="415"/>
      <c r="H135" s="415"/>
      <c r="I135" s="415"/>
      <c r="J135" s="415"/>
      <c r="K135" s="415"/>
      <c r="L135" s="415"/>
      <c r="M135" s="415"/>
    </row>
    <row r="136" spans="1:18">
      <c r="B136" s="415" t="s">
        <v>684</v>
      </c>
      <c r="C136" s="415"/>
      <c r="D136" s="415"/>
      <c r="E136" s="415"/>
      <c r="F136" s="415"/>
      <c r="G136" s="415"/>
      <c r="H136" s="415"/>
      <c r="I136" s="415"/>
      <c r="J136" s="415"/>
      <c r="K136" s="415"/>
      <c r="L136" s="415"/>
      <c r="M136" s="415"/>
    </row>
    <row r="137" spans="1:18">
      <c r="B137" s="133"/>
      <c r="C137" s="133"/>
      <c r="D137" s="20"/>
      <c r="E137" s="124"/>
      <c r="H137" s="17"/>
      <c r="I137" s="17"/>
      <c r="L137" s="17"/>
      <c r="M137" s="17"/>
    </row>
    <row r="144" spans="1:18">
      <c r="K144" t="e">
        <f>E30/E144*E151</f>
        <v>#DIV/0!</v>
      </c>
    </row>
    <row r="160" spans="10:10">
      <c r="J160">
        <f>E160-D160</f>
        <v>0</v>
      </c>
    </row>
  </sheetData>
  <printOptions horizontalCentered="1"/>
  <pageMargins left="1" right="1" top="1" bottom="1" header="0.5" footer="0.5"/>
  <pageSetup scale="39"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rowBreaks count="2" manualBreakCount="2">
    <brk id="50" max="17" man="1"/>
    <brk id="102" max="17" man="1"/>
  </rowBreaks>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160"/>
  <sheetViews>
    <sheetView tabSelected="1" view="pageBreakPreview" zoomScaleNormal="90" zoomScaleSheetLayoutView="100" zoomScalePageLayoutView="85" workbookViewId="0">
      <selection activeCell="E174" sqref="E174"/>
    </sheetView>
  </sheetViews>
  <sheetFormatPr defaultColWidth="9.1796875" defaultRowHeight="14.5"/>
  <cols>
    <col min="1" max="1" width="6.7265625" style="171" bestFit="1" customWidth="1"/>
    <col min="2" max="2" width="66.26953125" style="70" customWidth="1"/>
    <col min="3" max="3" width="7.81640625" style="70" bestFit="1" customWidth="1"/>
    <col min="4" max="4" width="12.1796875" style="70" bestFit="1" customWidth="1"/>
    <col min="5" max="5" width="12.453125" style="70" bestFit="1" customWidth="1"/>
    <col min="6" max="7" width="12.54296875" style="70" bestFit="1" customWidth="1"/>
    <col min="8" max="8" width="12" style="171" bestFit="1" customWidth="1"/>
    <col min="9" max="9" width="12.54296875" style="171" bestFit="1" customWidth="1"/>
    <col min="10" max="10" width="13.453125" style="70" customWidth="1"/>
    <col min="11" max="11" width="25.1796875" style="70" customWidth="1"/>
    <col min="12" max="12" width="25" style="70" bestFit="1" customWidth="1"/>
    <col min="13" max="13" width="12.1796875" style="70" bestFit="1" customWidth="1"/>
    <col min="14" max="14" width="15.7265625" style="70" bestFit="1" customWidth="1"/>
    <col min="15" max="15" width="15" style="70" bestFit="1" customWidth="1"/>
    <col min="16" max="16" width="14.81640625" style="70" bestFit="1" customWidth="1"/>
    <col min="17" max="17" width="4.7265625" style="70" bestFit="1" customWidth="1"/>
    <col min="18" max="16384" width="9.1796875" style="70"/>
  </cols>
  <sheetData>
    <row r="1" spans="1:17">
      <c r="B1" s="92" t="s">
        <v>28</v>
      </c>
      <c r="G1" s="145"/>
      <c r="H1" s="8"/>
      <c r="I1" s="8"/>
      <c r="P1" s="15" t="str">
        <f>CONCATENATE("Prior Year: ",'1-BaseTRR'!$G$2)</f>
        <v>Prior Year: 2021</v>
      </c>
    </row>
    <row r="2" spans="1:17">
      <c r="B2" s="119" t="s">
        <v>131</v>
      </c>
      <c r="C2" s="93"/>
      <c r="D2" s="93"/>
      <c r="H2" s="8"/>
      <c r="I2" s="8"/>
      <c r="J2" s="15"/>
    </row>
    <row r="3" spans="1:17">
      <c r="B3" s="70" t="s">
        <v>756</v>
      </c>
      <c r="H3" s="70"/>
      <c r="I3" s="70"/>
    </row>
    <row r="5" spans="1:17">
      <c r="B5" s="172" t="s">
        <v>757</v>
      </c>
      <c r="C5" s="172"/>
      <c r="D5" s="172"/>
      <c r="E5" s="173"/>
      <c r="F5" s="173"/>
      <c r="G5" s="173"/>
      <c r="H5" s="173"/>
      <c r="I5" s="173"/>
      <c r="J5" s="174"/>
      <c r="K5" s="173"/>
      <c r="L5" s="173"/>
      <c r="M5" s="173"/>
      <c r="N5" s="173"/>
      <c r="O5" s="173"/>
      <c r="P5" s="173"/>
      <c r="Q5" s="171"/>
    </row>
    <row r="6" spans="1:17">
      <c r="A6" s="30"/>
      <c r="E6" s="417"/>
      <c r="F6" s="417"/>
      <c r="G6" s="417"/>
      <c r="H6"/>
      <c r="I6"/>
      <c r="J6" s="175"/>
      <c r="K6"/>
      <c r="L6"/>
      <c r="M6"/>
      <c r="N6"/>
      <c r="O6"/>
      <c r="P6"/>
      <c r="Q6" s="30"/>
    </row>
    <row r="7" spans="1:17">
      <c r="A7" s="30"/>
      <c r="C7" s="175" t="s">
        <v>371</v>
      </c>
      <c r="D7" s="175" t="s">
        <v>372</v>
      </c>
      <c r="E7" s="175" t="s">
        <v>373</v>
      </c>
      <c r="F7" s="175" t="s">
        <v>374</v>
      </c>
      <c r="G7" s="175" t="s">
        <v>375</v>
      </c>
      <c r="H7" s="175" t="s">
        <v>376</v>
      </c>
      <c r="I7" s="175" t="s">
        <v>377</v>
      </c>
      <c r="J7" s="175" t="s">
        <v>378</v>
      </c>
      <c r="K7" s="175" t="s">
        <v>409</v>
      </c>
      <c r="L7" s="175" t="s">
        <v>525</v>
      </c>
      <c r="M7" s="175" t="s">
        <v>526</v>
      </c>
      <c r="N7" s="175" t="s">
        <v>527</v>
      </c>
      <c r="O7" s="175" t="s">
        <v>528</v>
      </c>
      <c r="P7" s="175" t="s">
        <v>529</v>
      </c>
      <c r="Q7" s="30"/>
    </row>
    <row r="8" spans="1:17">
      <c r="A8" s="30"/>
      <c r="C8" s="417"/>
      <c r="D8" s="417"/>
      <c r="E8" s="417"/>
      <c r="F8" s="417"/>
      <c r="G8" s="175"/>
      <c r="J8" s="171"/>
      <c r="K8" s="171" t="s">
        <v>758</v>
      </c>
      <c r="L8" s="171" t="s">
        <v>759</v>
      </c>
      <c r="M8" s="171" t="s">
        <v>760</v>
      </c>
      <c r="N8" s="171" t="s">
        <v>761</v>
      </c>
      <c r="O8" s="171"/>
      <c r="P8" s="171"/>
      <c r="Q8" s="30"/>
    </row>
    <row r="9" spans="1:17">
      <c r="A9" s="30"/>
      <c r="E9" s="417"/>
      <c r="F9" s="417"/>
      <c r="G9" s="417"/>
      <c r="H9"/>
      <c r="I9"/>
      <c r="J9" s="631"/>
      <c r="K9"/>
      <c r="L9"/>
      <c r="M9"/>
      <c r="N9"/>
      <c r="O9"/>
      <c r="P9"/>
      <c r="Q9" s="30"/>
    </row>
    <row r="10" spans="1:17">
      <c r="A10" s="30"/>
      <c r="D10" s="133" t="s">
        <v>762</v>
      </c>
      <c r="E10" s="133" t="s">
        <v>763</v>
      </c>
      <c r="F10" s="133" t="s">
        <v>449</v>
      </c>
      <c r="G10" s="133" t="s">
        <v>764</v>
      </c>
      <c r="H10"/>
      <c r="I10" s="133" t="s">
        <v>461</v>
      </c>
      <c r="J10" s="571" t="s">
        <v>765</v>
      </c>
      <c r="K10" s="133" t="s">
        <v>766</v>
      </c>
      <c r="L10"/>
      <c r="M10" s="571" t="s">
        <v>767</v>
      </c>
      <c r="N10" s="8" t="s">
        <v>768</v>
      </c>
      <c r="O10" s="133" t="s">
        <v>645</v>
      </c>
      <c r="P10" s="133" t="s">
        <v>769</v>
      </c>
      <c r="Q10" s="30"/>
    </row>
    <row r="11" spans="1:17">
      <c r="A11" s="97" t="s">
        <v>100</v>
      </c>
      <c r="C11" s="97" t="s">
        <v>770</v>
      </c>
      <c r="D11" s="97" t="s">
        <v>771</v>
      </c>
      <c r="E11" s="97" t="s">
        <v>771</v>
      </c>
      <c r="F11" s="121" t="s">
        <v>772</v>
      </c>
      <c r="G11" s="121" t="s">
        <v>449</v>
      </c>
      <c r="H11" s="97" t="s">
        <v>773</v>
      </c>
      <c r="I11" s="97" t="s">
        <v>449</v>
      </c>
      <c r="J11" s="97" t="s">
        <v>448</v>
      </c>
      <c r="K11" s="97" t="s">
        <v>448</v>
      </c>
      <c r="L11" s="97" t="s">
        <v>774</v>
      </c>
      <c r="M11" s="13" t="s">
        <v>775</v>
      </c>
      <c r="N11" s="13" t="s">
        <v>775</v>
      </c>
      <c r="O11" s="255" t="s">
        <v>776</v>
      </c>
      <c r="P11" s="255" t="s">
        <v>777</v>
      </c>
      <c r="Q11" s="97" t="str">
        <f>A11</f>
        <v>Line</v>
      </c>
    </row>
    <row r="12" spans="1:17">
      <c r="A12" s="77">
        <v>100</v>
      </c>
      <c r="B12" s="70" t="s">
        <v>778</v>
      </c>
      <c r="C12" s="171" t="s">
        <v>746</v>
      </c>
      <c r="D12" s="476">
        <f ca="1">SUMIF($C$17:$P18,$C12,D$17:D$18)</f>
        <v>0</v>
      </c>
      <c r="E12" s="476">
        <f ca="1">SUMIF($C$17:$P18,$C12,E$17:E$18)</f>
        <v>0</v>
      </c>
      <c r="F12" s="211"/>
      <c r="G12" s="211"/>
      <c r="H12" s="476">
        <f ca="1">SUMIF($C$17:$P18,$C12,H$17:H$18)</f>
        <v>0</v>
      </c>
      <c r="I12" s="476">
        <f ca="1">SUMIF($C$17:$P18,$C12,I$17:I$18)</f>
        <v>0</v>
      </c>
      <c r="J12" s="476">
        <f ca="1">SUMIF($C$17:$P18,$C12,J$17:J$18)</f>
        <v>0</v>
      </c>
      <c r="K12" s="476">
        <f ca="1">SUMIF($C$17:$P18,$C12,K$17:K$18)</f>
        <v>0</v>
      </c>
      <c r="L12" s="476">
        <f ca="1">SUMIF($C$17:$P18,$C12,L$17:L$18)</f>
        <v>0</v>
      </c>
      <c r="M12" s="476">
        <f ca="1">SUMIF($C$17:$P18,$C12,M$17:M$18)</f>
        <v>0</v>
      </c>
      <c r="N12" s="476">
        <f ca="1">SUMIF($C$17:$P18,$C12,N$17:N$18)</f>
        <v>0</v>
      </c>
      <c r="O12" s="211"/>
      <c r="P12" s="211"/>
      <c r="Q12" s="77">
        <f>A12</f>
        <v>100</v>
      </c>
    </row>
    <row r="13" spans="1:17">
      <c r="A13" s="77">
        <f>A12+1</f>
        <v>101</v>
      </c>
      <c r="B13" s="561" t="s">
        <v>779</v>
      </c>
      <c r="C13" s="562" t="s">
        <v>747</v>
      </c>
      <c r="D13" s="563">
        <f ca="1">SUMIF($C$17:$P18,$C13,D$17:D$18)</f>
        <v>0</v>
      </c>
      <c r="E13" s="563">
        <f ca="1">SUMIF($C$17:$P18,$C13,E$17:E$18)</f>
        <v>0</v>
      </c>
      <c r="F13" s="564"/>
      <c r="G13" s="564"/>
      <c r="H13" s="563">
        <f ca="1">SUMIF($C$17:$P18,$C13,H$17:H$18)</f>
        <v>0</v>
      </c>
      <c r="I13" s="563">
        <f ca="1">SUMIF($C$17:$P18,$C13,I$17:I$18)</f>
        <v>0</v>
      </c>
      <c r="J13" s="563">
        <f ca="1">SUMIF($C$17:$P18,$C13,J$17:J$18)</f>
        <v>0</v>
      </c>
      <c r="K13" s="563">
        <f ca="1">SUMIF($C$17:$P18,$C13,K$17:K$18)</f>
        <v>0</v>
      </c>
      <c r="L13" s="563">
        <f ca="1">SUMIF($C$17:$P18,$C13,L$17:L$18)</f>
        <v>0</v>
      </c>
      <c r="M13" s="563">
        <f ca="1">SUMIF($C$17:$P18,$C13,M$17:M$18)</f>
        <v>0</v>
      </c>
      <c r="N13" s="563">
        <f ca="1">SUMIF($C$17:$P18,$C13,N$17:N$18)</f>
        <v>0</v>
      </c>
      <c r="O13" s="564"/>
      <c r="P13" s="564"/>
      <c r="Q13" s="77">
        <f>A13</f>
        <v>101</v>
      </c>
    </row>
    <row r="14" spans="1:17">
      <c r="A14" s="77">
        <f t="shared" ref="A14" si="0">A13+1</f>
        <v>102</v>
      </c>
      <c r="B14" s="1" t="s">
        <v>780</v>
      </c>
      <c r="C14" s="1"/>
      <c r="D14" s="1"/>
      <c r="E14" s="476">
        <f ca="1">E12+E13</f>
        <v>0</v>
      </c>
      <c r="F14" s="476"/>
      <c r="G14" s="476"/>
      <c r="H14" s="476">
        <f t="shared" ref="H14:N14" ca="1" si="1">H12+H13</f>
        <v>0</v>
      </c>
      <c r="I14" s="476">
        <f t="shared" ca="1" si="1"/>
        <v>0</v>
      </c>
      <c r="J14" s="476">
        <f t="shared" ca="1" si="1"/>
        <v>0</v>
      </c>
      <c r="K14" s="476">
        <f t="shared" ca="1" si="1"/>
        <v>0</v>
      </c>
      <c r="L14" s="476">
        <f t="shared" ca="1" si="1"/>
        <v>0</v>
      </c>
      <c r="M14" s="476">
        <f t="shared" ca="1" si="1"/>
        <v>0</v>
      </c>
      <c r="N14" s="476">
        <f t="shared" ca="1" si="1"/>
        <v>0</v>
      </c>
      <c r="O14" s="476"/>
      <c r="P14"/>
      <c r="Q14" s="77">
        <f>A14</f>
        <v>102</v>
      </c>
    </row>
    <row r="15" spans="1:17">
      <c r="A15" s="97"/>
      <c r="C15" s="97"/>
      <c r="D15" s="97"/>
      <c r="E15" s="97"/>
      <c r="F15" s="121"/>
      <c r="G15" s="121"/>
      <c r="H15" s="97"/>
      <c r="I15" s="97"/>
      <c r="J15" s="97"/>
      <c r="K15" s="97"/>
      <c r="L15" s="97"/>
      <c r="M15" s="97"/>
      <c r="N15" s="13"/>
      <c r="O15" s="255"/>
      <c r="P15" s="255"/>
      <c r="Q15" s="97"/>
    </row>
    <row r="16" spans="1:17">
      <c r="A16" s="97"/>
      <c r="C16" s="97"/>
      <c r="D16" s="97"/>
      <c r="E16" s="97"/>
      <c r="F16" s="121"/>
      <c r="G16" s="121"/>
      <c r="H16" s="97"/>
      <c r="I16" s="97"/>
      <c r="J16" s="97"/>
      <c r="K16" s="97"/>
      <c r="L16" s="97"/>
      <c r="M16" s="97"/>
      <c r="N16" s="13"/>
      <c r="O16" s="255"/>
      <c r="P16" s="255"/>
      <c r="Q16" s="97"/>
    </row>
    <row r="17" spans="1:17">
      <c r="A17" s="77">
        <f>A14+1</f>
        <v>103</v>
      </c>
      <c r="B17" s="418"/>
      <c r="C17" s="128"/>
      <c r="D17" s="621"/>
      <c r="E17" s="445"/>
      <c r="F17" s="128"/>
      <c r="G17" s="573"/>
      <c r="H17" s="445"/>
      <c r="I17" s="445"/>
      <c r="J17" s="445"/>
      <c r="K17" s="476">
        <f>(H17+J17)/2</f>
        <v>0</v>
      </c>
      <c r="L17" s="476">
        <f>K17*'1-BaseTRR'!$E$99</f>
        <v>0</v>
      </c>
      <c r="M17" s="476">
        <f>J17-L17</f>
        <v>0</v>
      </c>
      <c r="N17" s="476">
        <f t="shared" ref="N17:N18" si="2">K17-L17</f>
        <v>0</v>
      </c>
      <c r="O17" s="128"/>
      <c r="P17" s="128"/>
      <c r="Q17" s="77">
        <f t="shared" ref="Q17:Q18" si="3">A17</f>
        <v>103</v>
      </c>
    </row>
    <row r="18" spans="1:17">
      <c r="A18" s="77">
        <f t="shared" ref="A18" si="4">A17+1</f>
        <v>104</v>
      </c>
      <c r="B18" s="415" t="s">
        <v>684</v>
      </c>
      <c r="C18" s="128"/>
      <c r="D18" s="621"/>
      <c r="E18" s="445"/>
      <c r="F18" s="128"/>
      <c r="G18" s="573"/>
      <c r="H18" s="445"/>
      <c r="I18" s="445"/>
      <c r="J18" s="445"/>
      <c r="K18" s="476">
        <f t="shared" ref="K18" si="5">(H18+J18)/2</f>
        <v>0</v>
      </c>
      <c r="L18" s="476">
        <f>K18*'1-BaseTRR'!$E$99</f>
        <v>0</v>
      </c>
      <c r="M18" s="476">
        <f t="shared" ref="M18" si="6">J18-L18</f>
        <v>0</v>
      </c>
      <c r="N18" s="476">
        <f t="shared" si="2"/>
        <v>0</v>
      </c>
      <c r="O18" s="128"/>
      <c r="P18" s="128"/>
      <c r="Q18" s="77">
        <f t="shared" si="3"/>
        <v>104</v>
      </c>
    </row>
    <row r="19" spans="1:17">
      <c r="H19" s="70"/>
      <c r="I19" s="70"/>
      <c r="K19" s="476"/>
      <c r="L19" s="476"/>
      <c r="M19" s="476"/>
      <c r="N19" s="476"/>
      <c r="Q19" s="171"/>
    </row>
    <row r="20" spans="1:17">
      <c r="B20" s="16" t="s">
        <v>306</v>
      </c>
      <c r="H20" s="70"/>
      <c r="I20" s="70"/>
      <c r="K20" s="476"/>
      <c r="L20" s="476"/>
      <c r="M20" s="476"/>
      <c r="N20" s="476"/>
    </row>
    <row r="21" spans="1:17">
      <c r="B21" s="843" t="s">
        <v>781</v>
      </c>
      <c r="C21" s="843"/>
      <c r="D21" s="843"/>
      <c r="E21" s="843"/>
      <c r="F21" s="843"/>
      <c r="G21" s="843"/>
      <c r="H21" s="843"/>
      <c r="I21" s="843"/>
      <c r="J21" s="843"/>
      <c r="K21" s="843"/>
      <c r="L21" s="843"/>
      <c r="M21" s="843"/>
      <c r="N21" s="843"/>
      <c r="O21" s="843"/>
      <c r="P21" s="843"/>
    </row>
    <row r="22" spans="1:17">
      <c r="B22" s="843" t="s">
        <v>127</v>
      </c>
      <c r="C22" s="843"/>
      <c r="D22" s="843"/>
      <c r="E22" s="843"/>
      <c r="F22" s="843"/>
      <c r="G22" s="843"/>
      <c r="H22" s="843"/>
      <c r="I22" s="843"/>
      <c r="J22" s="843"/>
      <c r="K22" s="843"/>
      <c r="L22" s="843"/>
      <c r="M22" s="843"/>
      <c r="N22" s="843"/>
      <c r="O22" s="843"/>
      <c r="P22" s="843"/>
    </row>
    <row r="144" spans="11:11">
      <c r="K144" s="70" t="e">
        <f>E30/E144*E151</f>
        <v>#DIV/0!</v>
      </c>
    </row>
    <row r="160" spans="10:10">
      <c r="J160" s="70">
        <f>E160-D160</f>
        <v>0</v>
      </c>
    </row>
  </sheetData>
  <mergeCells count="2">
    <mergeCell ref="B22:P22"/>
    <mergeCell ref="B21:P21"/>
  </mergeCells>
  <printOptions horizontalCentered="1"/>
  <pageMargins left="1" right="1" top="1" bottom="1" header="0.5" footer="0.5"/>
  <pageSetup scale="41"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160"/>
  <sheetViews>
    <sheetView tabSelected="1" view="pageBreakPreview" topLeftCell="A42" zoomScale="90" zoomScaleNormal="75" zoomScaleSheetLayoutView="90" zoomScalePageLayoutView="85" workbookViewId="0">
      <selection activeCell="E174" sqref="E174"/>
    </sheetView>
  </sheetViews>
  <sheetFormatPr defaultColWidth="9.1796875" defaultRowHeight="14.5"/>
  <cols>
    <col min="1" max="1" width="5.26953125" style="177" customWidth="1"/>
    <col min="2" max="2" width="15.453125" style="177" customWidth="1"/>
    <col min="3" max="3" width="18.1796875" style="177" bestFit="1" customWidth="1"/>
    <col min="4" max="4" width="29" style="177" customWidth="1"/>
    <col min="5" max="5" width="18.81640625" style="177" customWidth="1"/>
    <col min="6" max="6" width="28.453125" style="177" bestFit="1" customWidth="1"/>
    <col min="7" max="7" width="18.81640625" style="177" customWidth="1"/>
    <col min="8" max="8" width="24.453125" style="177" bestFit="1" customWidth="1"/>
    <col min="9" max="9" width="18.81640625" style="177" customWidth="1"/>
    <col min="10" max="10" width="13.453125" style="179" customWidth="1"/>
    <col min="11" max="11" width="25.1796875" style="177" customWidth="1"/>
    <col min="12" max="12" width="15.54296875" style="177" customWidth="1"/>
    <col min="13" max="14" width="18.54296875" style="177" customWidth="1"/>
    <col min="15" max="27" width="15.54296875" style="177" customWidth="1"/>
    <col min="28" max="16384" width="9.1796875" style="177"/>
  </cols>
  <sheetData>
    <row r="1" spans="1:22">
      <c r="B1" s="178" t="s">
        <v>30</v>
      </c>
      <c r="F1" s="145"/>
      <c r="G1" s="79"/>
      <c r="H1" s="8"/>
      <c r="I1" s="15" t="str">
        <f>CONCATENATE("Prior Year: ",'1-BaseTRR'!$G$2)</f>
        <v>Prior Year: 2021</v>
      </c>
    </row>
    <row r="2" spans="1:22">
      <c r="B2" s="119" t="s">
        <v>131</v>
      </c>
      <c r="C2" s="119"/>
      <c r="G2" s="79"/>
      <c r="H2" s="15"/>
      <c r="I2" s="8"/>
    </row>
    <row r="3" spans="1:22">
      <c r="B3" s="144"/>
    </row>
    <row r="4" spans="1:22">
      <c r="B4" s="177" t="s">
        <v>782</v>
      </c>
    </row>
    <row r="5" spans="1:22">
      <c r="B5" s="177" t="s">
        <v>783</v>
      </c>
    </row>
    <row r="7" spans="1:22">
      <c r="B7" s="180" t="s">
        <v>784</v>
      </c>
      <c r="C7" s="181"/>
      <c r="D7" s="181"/>
      <c r="E7" s="181"/>
      <c r="F7" s="181"/>
      <c r="G7" s="181"/>
      <c r="H7" s="181"/>
      <c r="I7" s="181"/>
    </row>
    <row r="8" spans="1:22">
      <c r="B8" s="177" t="s">
        <v>785</v>
      </c>
    </row>
    <row r="9" spans="1:22">
      <c r="B9" s="182"/>
    </row>
    <row r="10" spans="1:22">
      <c r="D10" s="175" t="s">
        <v>371</v>
      </c>
      <c r="E10" s="175" t="s">
        <v>372</v>
      </c>
      <c r="F10" s="175" t="s">
        <v>373</v>
      </c>
      <c r="G10" s="175" t="s">
        <v>374</v>
      </c>
      <c r="H10" s="175" t="s">
        <v>375</v>
      </c>
      <c r="I10" s="175" t="s">
        <v>376</v>
      </c>
      <c r="J10" s="183"/>
      <c r="M10" s="184"/>
      <c r="N10" s="184"/>
      <c r="O10" s="184"/>
      <c r="P10" s="184"/>
      <c r="Q10" s="184"/>
      <c r="R10" s="184"/>
      <c r="S10" s="184"/>
      <c r="T10" s="184"/>
      <c r="U10" s="184"/>
      <c r="V10" s="184"/>
    </row>
    <row r="11" spans="1:22" ht="29">
      <c r="D11" s="176" t="s">
        <v>786</v>
      </c>
      <c r="E11" s="176" t="s">
        <v>786</v>
      </c>
      <c r="F11" s="176" t="s">
        <v>786</v>
      </c>
      <c r="G11" s="176" t="s">
        <v>786</v>
      </c>
      <c r="H11" s="176" t="s">
        <v>786</v>
      </c>
      <c r="I11" s="176" t="s">
        <v>786</v>
      </c>
      <c r="J11" s="183"/>
    </row>
    <row r="12" spans="1:22">
      <c r="E12" s="183"/>
      <c r="F12" s="183"/>
      <c r="G12" s="183"/>
      <c r="H12" s="183"/>
      <c r="J12" s="183"/>
      <c r="M12" s="183"/>
      <c r="N12" s="183"/>
      <c r="O12" s="183"/>
      <c r="P12" s="183"/>
      <c r="Q12" s="183"/>
      <c r="R12" s="183"/>
      <c r="S12" s="183"/>
      <c r="T12" s="183"/>
      <c r="U12" s="183"/>
      <c r="V12" s="183"/>
    </row>
    <row r="13" spans="1:22">
      <c r="B13" s="844" t="s">
        <v>787</v>
      </c>
      <c r="C13" s="844"/>
      <c r="D13" s="183" t="s">
        <v>788</v>
      </c>
      <c r="E13" s="183" t="s">
        <v>789</v>
      </c>
      <c r="F13" s="183" t="s">
        <v>790</v>
      </c>
      <c r="G13" s="183" t="s">
        <v>791</v>
      </c>
      <c r="H13" s="183" t="s">
        <v>789</v>
      </c>
      <c r="I13" s="183" t="s">
        <v>792</v>
      </c>
      <c r="J13" s="183"/>
      <c r="M13" s="183"/>
      <c r="N13" s="183"/>
      <c r="O13" s="183"/>
      <c r="P13" s="183"/>
      <c r="Q13" s="183"/>
      <c r="R13" s="183"/>
      <c r="S13" s="183"/>
      <c r="T13" s="183"/>
      <c r="U13" s="183"/>
      <c r="V13" s="183"/>
    </row>
    <row r="14" spans="1:22">
      <c r="A14" s="184" t="s">
        <v>100</v>
      </c>
      <c r="B14" s="184" t="s">
        <v>384</v>
      </c>
      <c r="C14" s="184" t="s">
        <v>420</v>
      </c>
      <c r="D14" s="184" t="s">
        <v>793</v>
      </c>
      <c r="E14" s="184" t="s">
        <v>794</v>
      </c>
      <c r="F14" s="184" t="s">
        <v>795</v>
      </c>
      <c r="G14" s="184" t="s">
        <v>796</v>
      </c>
      <c r="H14" s="184" t="s">
        <v>797</v>
      </c>
      <c r="I14" s="184" t="s">
        <v>798</v>
      </c>
      <c r="J14" s="184" t="str">
        <f>A14</f>
        <v>Line</v>
      </c>
      <c r="M14" s="184"/>
      <c r="N14" s="184"/>
      <c r="O14" s="184"/>
      <c r="P14" s="184"/>
      <c r="Q14" s="184"/>
      <c r="R14" s="184"/>
      <c r="S14" s="184"/>
      <c r="T14" s="184"/>
      <c r="U14" s="184"/>
      <c r="V14" s="184"/>
    </row>
    <row r="15" spans="1:22">
      <c r="A15" s="183">
        <v>100</v>
      </c>
      <c r="B15" s="177" t="str">
        <f t="shared" ref="B15:B38" si="0">B52</f>
        <v>January</v>
      </c>
      <c r="C15" s="158">
        <f>'1-BaseTRR'!$G$2+1</f>
        <v>2022</v>
      </c>
      <c r="D15" s="200">
        <f t="shared" ref="D15:I30" si="1">D52+D88</f>
        <v>62793263.9114419</v>
      </c>
      <c r="E15" s="200">
        <f t="shared" si="1"/>
        <v>62793263.9114419</v>
      </c>
      <c r="F15" s="200">
        <f t="shared" si="1"/>
        <v>149885.04731588025</v>
      </c>
      <c r="G15" s="200">
        <f t="shared" si="1"/>
        <v>6022716.261341108</v>
      </c>
      <c r="H15" s="200">
        <f t="shared" si="1"/>
        <v>-5872831.2140252283</v>
      </c>
      <c r="I15" s="200">
        <f t="shared" si="1"/>
        <v>68666095.125467122</v>
      </c>
      <c r="J15" s="183">
        <f>A15</f>
        <v>100</v>
      </c>
      <c r="M15" s="28"/>
      <c r="N15" s="185"/>
      <c r="O15" s="185"/>
      <c r="P15" s="185"/>
      <c r="Q15" s="185"/>
      <c r="R15" s="185"/>
      <c r="S15" s="185"/>
      <c r="T15" s="185"/>
      <c r="U15" s="185"/>
      <c r="V15" s="185"/>
    </row>
    <row r="16" spans="1:22">
      <c r="A16" s="183">
        <f>A15+1</f>
        <v>101</v>
      </c>
      <c r="B16" s="177" t="str">
        <f t="shared" si="0"/>
        <v>February</v>
      </c>
      <c r="C16" s="158">
        <f>'1-BaseTRR'!$G$2+1</f>
        <v>2022</v>
      </c>
      <c r="D16" s="200">
        <f t="shared" si="1"/>
        <v>105827219.84780945</v>
      </c>
      <c r="E16" s="200">
        <f t="shared" si="1"/>
        <v>168620483.75925136</v>
      </c>
      <c r="F16" s="200">
        <f t="shared" si="1"/>
        <v>402490.45219764009</v>
      </c>
      <c r="G16" s="200">
        <f t="shared" si="1"/>
        <v>6619320.8227959052</v>
      </c>
      <c r="H16" s="200">
        <f t="shared" si="1"/>
        <v>-12089661.584623493</v>
      </c>
      <c r="I16" s="200">
        <f t="shared" si="1"/>
        <v>180710145.34387484</v>
      </c>
      <c r="J16" s="183">
        <f t="shared" ref="J16:J39" si="2">A16</f>
        <v>101</v>
      </c>
      <c r="M16" s="28"/>
      <c r="N16" s="185"/>
      <c r="O16" s="185"/>
      <c r="P16" s="185"/>
      <c r="Q16" s="185"/>
      <c r="R16" s="185"/>
      <c r="S16" s="185"/>
      <c r="T16" s="185"/>
      <c r="U16" s="185"/>
      <c r="V16" s="185"/>
    </row>
    <row r="17" spans="1:22">
      <c r="A17" s="183">
        <f t="shared" ref="A17:A39" si="3">A16+1</f>
        <v>102</v>
      </c>
      <c r="B17" s="177" t="str">
        <f t="shared" si="0"/>
        <v>March</v>
      </c>
      <c r="C17" s="158">
        <f>'1-BaseTRR'!$G$2+1</f>
        <v>2022</v>
      </c>
      <c r="D17" s="200">
        <f t="shared" si="1"/>
        <v>109525758.5872464</v>
      </c>
      <c r="E17" s="200">
        <f t="shared" si="1"/>
        <v>278146242.34649777</v>
      </c>
      <c r="F17" s="200">
        <f t="shared" si="1"/>
        <v>663924.12335238652</v>
      </c>
      <c r="G17" s="200">
        <f t="shared" si="1"/>
        <v>7660750.7238649931</v>
      </c>
      <c r="H17" s="200">
        <f t="shared" si="1"/>
        <v>-19086488.185136098</v>
      </c>
      <c r="I17" s="200">
        <f t="shared" si="1"/>
        <v>297232730.53163385</v>
      </c>
      <c r="J17" s="183">
        <f t="shared" si="2"/>
        <v>102</v>
      </c>
      <c r="M17" s="28"/>
      <c r="N17" s="185"/>
      <c r="O17" s="185"/>
      <c r="P17" s="185"/>
      <c r="Q17" s="185"/>
      <c r="R17" s="185"/>
      <c r="S17" s="185"/>
      <c r="T17" s="185"/>
      <c r="U17" s="185"/>
      <c r="V17" s="185"/>
    </row>
    <row r="18" spans="1:22">
      <c r="A18" s="183">
        <f t="shared" si="3"/>
        <v>103</v>
      </c>
      <c r="B18" s="177" t="str">
        <f t="shared" si="0"/>
        <v>April</v>
      </c>
      <c r="C18" s="158">
        <f>'1-BaseTRR'!$G$2+1</f>
        <v>2022</v>
      </c>
      <c r="D18" s="200">
        <f t="shared" si="1"/>
        <v>94315346.158920437</v>
      </c>
      <c r="E18" s="200">
        <f t="shared" si="1"/>
        <v>372461588.50541818</v>
      </c>
      <c r="F18" s="200">
        <f t="shared" si="1"/>
        <v>889051.13923071767</v>
      </c>
      <c r="G18" s="200">
        <f t="shared" si="1"/>
        <v>6449105.9356137412</v>
      </c>
      <c r="H18" s="200">
        <f t="shared" si="1"/>
        <v>-24646542.981519122</v>
      </c>
      <c r="I18" s="200">
        <f t="shared" si="1"/>
        <v>397108131.48693728</v>
      </c>
      <c r="J18" s="183">
        <f t="shared" si="2"/>
        <v>103</v>
      </c>
      <c r="M18" s="28"/>
      <c r="N18" s="185"/>
      <c r="O18" s="185"/>
      <c r="P18" s="185"/>
      <c r="Q18" s="185"/>
      <c r="R18" s="185"/>
      <c r="S18" s="185"/>
      <c r="T18" s="185"/>
      <c r="U18" s="185"/>
      <c r="V18" s="185"/>
    </row>
    <row r="19" spans="1:22">
      <c r="A19" s="183">
        <f t="shared" si="3"/>
        <v>104</v>
      </c>
      <c r="B19" s="177" t="str">
        <f t="shared" si="0"/>
        <v>May</v>
      </c>
      <c r="C19" s="158">
        <f>'1-BaseTRR'!$G$2+1</f>
        <v>2022</v>
      </c>
      <c r="D19" s="200">
        <f t="shared" si="1"/>
        <v>84710442.535163522</v>
      </c>
      <c r="E19" s="200">
        <f t="shared" si="1"/>
        <v>457172031.04058176</v>
      </c>
      <c r="F19" s="200">
        <f t="shared" si="1"/>
        <v>1091251.6285290383</v>
      </c>
      <c r="G19" s="200">
        <f t="shared" si="1"/>
        <v>7324355.5614599064</v>
      </c>
      <c r="H19" s="200">
        <f t="shared" si="1"/>
        <v>-30879646.91444999</v>
      </c>
      <c r="I19" s="200">
        <f t="shared" si="1"/>
        <v>488051677.95503175</v>
      </c>
      <c r="J19" s="183">
        <f t="shared" si="2"/>
        <v>104</v>
      </c>
      <c r="M19" s="28"/>
      <c r="N19" s="185"/>
      <c r="O19" s="185"/>
      <c r="P19" s="185"/>
      <c r="Q19" s="185"/>
      <c r="R19" s="185"/>
      <c r="S19" s="185"/>
      <c r="T19" s="185"/>
      <c r="U19" s="185"/>
      <c r="V19" s="185"/>
    </row>
    <row r="20" spans="1:22">
      <c r="A20" s="183">
        <f t="shared" si="3"/>
        <v>105</v>
      </c>
      <c r="B20" s="177" t="str">
        <f t="shared" si="0"/>
        <v xml:space="preserve">June </v>
      </c>
      <c r="C20" s="158">
        <f>'1-BaseTRR'!$G$2+1</f>
        <v>2022</v>
      </c>
      <c r="D20" s="200">
        <f t="shared" si="1"/>
        <v>76446578.370898247</v>
      </c>
      <c r="E20" s="200">
        <f t="shared" si="1"/>
        <v>533618609.41148001</v>
      </c>
      <c r="F20" s="200">
        <f t="shared" si="1"/>
        <v>1273726.5996090393</v>
      </c>
      <c r="G20" s="200">
        <f t="shared" si="1"/>
        <v>7209785.8794933036</v>
      </c>
      <c r="H20" s="200">
        <f t="shared" si="1"/>
        <v>-36815706.194334254</v>
      </c>
      <c r="I20" s="200">
        <f t="shared" si="1"/>
        <v>570434315.60581422</v>
      </c>
      <c r="J20" s="183">
        <f t="shared" si="2"/>
        <v>105</v>
      </c>
      <c r="M20" s="28"/>
      <c r="N20" s="185"/>
      <c r="O20" s="185"/>
      <c r="P20" s="185"/>
      <c r="Q20" s="185"/>
      <c r="R20" s="185"/>
      <c r="S20" s="185"/>
      <c r="T20" s="185"/>
      <c r="U20" s="185"/>
      <c r="V20" s="185"/>
    </row>
    <row r="21" spans="1:22">
      <c r="A21" s="183">
        <f t="shared" si="3"/>
        <v>106</v>
      </c>
      <c r="B21" s="177" t="str">
        <f t="shared" si="0"/>
        <v>July</v>
      </c>
      <c r="C21" s="158">
        <f>'1-BaseTRR'!$G$2+1</f>
        <v>2022</v>
      </c>
      <c r="D21" s="200">
        <f t="shared" si="1"/>
        <v>65168045.317073867</v>
      </c>
      <c r="E21" s="200">
        <f t="shared" si="1"/>
        <v>598786654.72855389</v>
      </c>
      <c r="F21" s="200">
        <f t="shared" si="1"/>
        <v>1429280.156589428</v>
      </c>
      <c r="G21" s="200">
        <f t="shared" si="1"/>
        <v>5697794.0248985281</v>
      </c>
      <c r="H21" s="200">
        <f t="shared" si="1"/>
        <v>-41084220.062643357</v>
      </c>
      <c r="I21" s="200">
        <f t="shared" si="1"/>
        <v>639870874.7911973</v>
      </c>
      <c r="J21" s="183">
        <f t="shared" si="2"/>
        <v>106</v>
      </c>
      <c r="M21" s="28"/>
      <c r="N21" s="185"/>
      <c r="O21" s="185"/>
      <c r="P21" s="185"/>
      <c r="Q21" s="185"/>
      <c r="R21" s="185"/>
      <c r="S21" s="185"/>
      <c r="T21" s="185"/>
      <c r="U21" s="185"/>
      <c r="V21" s="185"/>
    </row>
    <row r="22" spans="1:22">
      <c r="A22" s="183">
        <f t="shared" si="3"/>
        <v>107</v>
      </c>
      <c r="B22" s="177" t="str">
        <f t="shared" si="0"/>
        <v>August</v>
      </c>
      <c r="C22" s="158">
        <f>'1-BaseTRR'!$G$2+1</f>
        <v>2022</v>
      </c>
      <c r="D22" s="200">
        <f t="shared" si="1"/>
        <v>107195667.74996752</v>
      </c>
      <c r="E22" s="200">
        <f t="shared" si="1"/>
        <v>705982322.47852135</v>
      </c>
      <c r="F22" s="200">
        <f t="shared" si="1"/>
        <v>1685151.9927058108</v>
      </c>
      <c r="G22" s="200">
        <f t="shared" si="1"/>
        <v>7645376.8742906535</v>
      </c>
      <c r="H22" s="200">
        <f t="shared" si="1"/>
        <v>-47044444.944228202</v>
      </c>
      <c r="I22" s="200">
        <f t="shared" si="1"/>
        <v>753026767.42274964</v>
      </c>
      <c r="J22" s="183">
        <f t="shared" si="2"/>
        <v>107</v>
      </c>
      <c r="M22" s="28"/>
      <c r="N22" s="185"/>
      <c r="O22" s="185"/>
      <c r="P22" s="185"/>
      <c r="Q22" s="185"/>
      <c r="R22" s="185"/>
      <c r="S22" s="185"/>
      <c r="T22" s="185"/>
      <c r="U22" s="185"/>
      <c r="V22" s="185"/>
    </row>
    <row r="23" spans="1:22">
      <c r="A23" s="183">
        <f t="shared" si="3"/>
        <v>108</v>
      </c>
      <c r="B23" s="177" t="str">
        <f t="shared" si="0"/>
        <v>September</v>
      </c>
      <c r="C23" s="158">
        <f>'1-BaseTRR'!$G$2+1</f>
        <v>2022</v>
      </c>
      <c r="D23" s="200">
        <f t="shared" si="1"/>
        <v>94143048.919391602</v>
      </c>
      <c r="E23" s="200">
        <f t="shared" si="1"/>
        <v>800125371.39791298</v>
      </c>
      <c r="F23" s="200">
        <f t="shared" si="1"/>
        <v>1909867.7418607622</v>
      </c>
      <c r="G23" s="200">
        <f t="shared" si="1"/>
        <v>8680877.9766790867</v>
      </c>
      <c r="H23" s="200">
        <f t="shared" si="1"/>
        <v>-53815455.179046519</v>
      </c>
      <c r="I23" s="200">
        <f t="shared" si="1"/>
        <v>853940826.57695949</v>
      </c>
      <c r="J23" s="183">
        <f t="shared" si="2"/>
        <v>108</v>
      </c>
      <c r="M23" s="28"/>
      <c r="N23" s="185"/>
      <c r="O23" s="185"/>
      <c r="P23" s="185"/>
      <c r="Q23" s="185"/>
      <c r="R23" s="185"/>
      <c r="S23" s="185"/>
      <c r="T23" s="185"/>
      <c r="U23" s="185"/>
      <c r="V23" s="185"/>
    </row>
    <row r="24" spans="1:22">
      <c r="A24" s="183">
        <f t="shared" si="3"/>
        <v>109</v>
      </c>
      <c r="B24" s="177" t="str">
        <f t="shared" si="0"/>
        <v xml:space="preserve">October </v>
      </c>
      <c r="C24" s="158">
        <f>'1-BaseTRR'!$G$2+1</f>
        <v>2022</v>
      </c>
      <c r="D24" s="200">
        <f t="shared" si="1"/>
        <v>46934913.737764984</v>
      </c>
      <c r="E24" s="200">
        <f t="shared" si="1"/>
        <v>847060285.13567805</v>
      </c>
      <c r="F24" s="200">
        <f t="shared" si="1"/>
        <v>2021899.5320265514</v>
      </c>
      <c r="G24" s="200">
        <f t="shared" si="1"/>
        <v>6472563.8794011204</v>
      </c>
      <c r="H24" s="200">
        <f t="shared" si="1"/>
        <v>-58266119.526421085</v>
      </c>
      <c r="I24" s="200">
        <f t="shared" si="1"/>
        <v>905326404.66209912</v>
      </c>
      <c r="J24" s="183">
        <f t="shared" si="2"/>
        <v>109</v>
      </c>
      <c r="M24" s="28"/>
      <c r="N24" s="185"/>
      <c r="O24" s="185"/>
      <c r="P24" s="185"/>
      <c r="Q24" s="185"/>
      <c r="R24" s="185"/>
      <c r="S24" s="185"/>
      <c r="T24" s="185"/>
      <c r="U24" s="185"/>
      <c r="V24" s="185"/>
    </row>
    <row r="25" spans="1:22">
      <c r="A25" s="183">
        <f t="shared" si="3"/>
        <v>110</v>
      </c>
      <c r="B25" s="177" t="str">
        <f t="shared" si="0"/>
        <v>November</v>
      </c>
      <c r="C25" s="158">
        <f>'1-BaseTRR'!$G$2+1</f>
        <v>2022</v>
      </c>
      <c r="D25" s="200">
        <f t="shared" si="1"/>
        <v>123905410.78088114</v>
      </c>
      <c r="E25" s="200">
        <f t="shared" si="1"/>
        <v>970965695.91655922</v>
      </c>
      <c r="F25" s="200">
        <f t="shared" si="1"/>
        <v>2317656.8665039828</v>
      </c>
      <c r="G25" s="200">
        <f t="shared" si="1"/>
        <v>6200608.201620128</v>
      </c>
      <c r="H25" s="200">
        <f t="shared" si="1"/>
        <v>-62149070.861537233</v>
      </c>
      <c r="I25" s="200">
        <f t="shared" si="1"/>
        <v>1033114766.7780963</v>
      </c>
      <c r="J25" s="183">
        <f t="shared" si="2"/>
        <v>110</v>
      </c>
      <c r="M25" s="28"/>
      <c r="N25" s="185"/>
      <c r="O25" s="185"/>
      <c r="P25" s="185"/>
      <c r="Q25" s="185"/>
      <c r="R25" s="185"/>
      <c r="S25" s="185"/>
      <c r="T25" s="185"/>
      <c r="U25" s="185"/>
      <c r="V25" s="185"/>
    </row>
    <row r="26" spans="1:22">
      <c r="A26" s="183">
        <f t="shared" si="3"/>
        <v>111</v>
      </c>
      <c r="B26" s="177" t="str">
        <f t="shared" si="0"/>
        <v>December</v>
      </c>
      <c r="C26" s="158">
        <f>'1-BaseTRR'!$G$2+1</f>
        <v>2022</v>
      </c>
      <c r="D26" s="200">
        <f t="shared" si="1"/>
        <v>138386795.19064838</v>
      </c>
      <c r="E26" s="200">
        <f t="shared" si="1"/>
        <v>1109352491.1072075</v>
      </c>
      <c r="F26" s="200">
        <f t="shared" si="1"/>
        <v>2647980.6950964285</v>
      </c>
      <c r="G26" s="200">
        <f t="shared" si="1"/>
        <v>6796309.6555281095</v>
      </c>
      <c r="H26" s="200">
        <f t="shared" si="1"/>
        <v>-66297399.821968913</v>
      </c>
      <c r="I26" s="200">
        <f t="shared" si="1"/>
        <v>1175649890.9291763</v>
      </c>
      <c r="J26" s="183">
        <f t="shared" si="2"/>
        <v>111</v>
      </c>
      <c r="M26" s="28"/>
      <c r="N26" s="185"/>
      <c r="O26" s="185"/>
      <c r="P26" s="185"/>
      <c r="Q26" s="185"/>
      <c r="R26" s="185"/>
      <c r="S26" s="185"/>
      <c r="T26" s="185"/>
      <c r="U26" s="185"/>
      <c r="V26" s="185"/>
    </row>
    <row r="27" spans="1:22">
      <c r="A27" s="183">
        <f t="shared" si="3"/>
        <v>112</v>
      </c>
      <c r="B27" s="177" t="str">
        <f t="shared" si="0"/>
        <v>January</v>
      </c>
      <c r="C27" s="158">
        <f>'1-BaseTRR'!$G$1</f>
        <v>2023</v>
      </c>
      <c r="D27" s="200">
        <f t="shared" si="1"/>
        <v>49618270.568053111</v>
      </c>
      <c r="E27" s="200">
        <f t="shared" si="1"/>
        <v>1158970761.6752605</v>
      </c>
      <c r="F27" s="200">
        <f t="shared" si="1"/>
        <v>2766417.552309542</v>
      </c>
      <c r="G27" s="200">
        <f t="shared" si="1"/>
        <v>4686991.0978435464</v>
      </c>
      <c r="H27" s="200">
        <f t="shared" si="1"/>
        <v>-68217973.367502913</v>
      </c>
      <c r="I27" s="200">
        <f t="shared" si="1"/>
        <v>1227188735.0427637</v>
      </c>
      <c r="J27" s="183">
        <f t="shared" si="2"/>
        <v>112</v>
      </c>
      <c r="M27" s="28"/>
      <c r="N27" s="185"/>
      <c r="O27" s="185"/>
      <c r="P27" s="185"/>
      <c r="Q27" s="185"/>
      <c r="R27" s="185"/>
      <c r="S27" s="185"/>
      <c r="T27" s="185"/>
      <c r="U27" s="185"/>
      <c r="V27" s="185"/>
    </row>
    <row r="28" spans="1:22">
      <c r="A28" s="183">
        <f t="shared" si="3"/>
        <v>113</v>
      </c>
      <c r="B28" s="177" t="str">
        <f t="shared" si="0"/>
        <v>February</v>
      </c>
      <c r="C28" s="186">
        <f>'1-BaseTRR'!$G$1</f>
        <v>2023</v>
      </c>
      <c r="D28" s="200">
        <f t="shared" si="1"/>
        <v>116096400.44989839</v>
      </c>
      <c r="E28" s="200">
        <f t="shared" si="1"/>
        <v>1275067162.125159</v>
      </c>
      <c r="F28" s="200">
        <f t="shared" si="1"/>
        <v>3043535.0867504561</v>
      </c>
      <c r="G28" s="200">
        <f t="shared" si="1"/>
        <v>4560733.5344761927</v>
      </c>
      <c r="H28" s="200">
        <f t="shared" si="1"/>
        <v>-69735171.815228656</v>
      </c>
      <c r="I28" s="200">
        <f t="shared" si="1"/>
        <v>1344802333.9403877</v>
      </c>
      <c r="J28" s="183">
        <f t="shared" si="2"/>
        <v>113</v>
      </c>
      <c r="M28" s="28"/>
      <c r="N28" s="185"/>
      <c r="O28" s="185"/>
      <c r="P28" s="185"/>
      <c r="Q28" s="185"/>
      <c r="R28" s="185"/>
      <c r="S28" s="185"/>
      <c r="T28" s="185"/>
      <c r="U28" s="185"/>
      <c r="V28" s="185"/>
    </row>
    <row r="29" spans="1:22">
      <c r="A29" s="183">
        <f t="shared" si="3"/>
        <v>114</v>
      </c>
      <c r="B29" s="177" t="str">
        <f t="shared" si="0"/>
        <v>March</v>
      </c>
      <c r="C29" s="186">
        <f>'1-BaseTRR'!$G$1</f>
        <v>2023</v>
      </c>
      <c r="D29" s="200">
        <f t="shared" si="1"/>
        <v>115135775.99437858</v>
      </c>
      <c r="E29" s="200">
        <f t="shared" si="1"/>
        <v>1390202938.1195378</v>
      </c>
      <c r="F29" s="200">
        <f t="shared" si="1"/>
        <v>3318359.6484583169</v>
      </c>
      <c r="G29" s="200">
        <f t="shared" si="1"/>
        <v>4468606.0012582717</v>
      </c>
      <c r="H29" s="200">
        <f t="shared" si="1"/>
        <v>-70885418.168028623</v>
      </c>
      <c r="I29" s="200">
        <f t="shared" si="1"/>
        <v>1461088356.2875662</v>
      </c>
      <c r="J29" s="183">
        <f t="shared" si="2"/>
        <v>114</v>
      </c>
      <c r="M29" s="28"/>
      <c r="N29" s="185"/>
      <c r="O29" s="185"/>
      <c r="P29" s="185"/>
      <c r="Q29" s="185"/>
      <c r="R29" s="185"/>
      <c r="S29" s="185"/>
      <c r="T29" s="185"/>
      <c r="U29" s="185"/>
      <c r="V29" s="185"/>
    </row>
    <row r="30" spans="1:22">
      <c r="A30" s="183">
        <f t="shared" si="3"/>
        <v>115</v>
      </c>
      <c r="B30" s="177" t="str">
        <f t="shared" si="0"/>
        <v>April</v>
      </c>
      <c r="C30" s="186">
        <f>'1-BaseTRR'!$G$1</f>
        <v>2023</v>
      </c>
      <c r="D30" s="200">
        <f t="shared" si="1"/>
        <v>142511793.06752589</v>
      </c>
      <c r="E30" s="200">
        <f t="shared" si="1"/>
        <v>1532714731.1870637</v>
      </c>
      <c r="F30" s="200">
        <f t="shared" si="1"/>
        <v>3658529.6844851407</v>
      </c>
      <c r="G30" s="200">
        <f t="shared" si="1"/>
        <v>5127997.0260046497</v>
      </c>
      <c r="H30" s="200">
        <f t="shared" si="1"/>
        <v>-72354885.509548128</v>
      </c>
      <c r="I30" s="200">
        <f t="shared" si="1"/>
        <v>1605069616.6966119</v>
      </c>
      <c r="J30" s="183">
        <f t="shared" si="2"/>
        <v>115</v>
      </c>
      <c r="M30" s="28"/>
      <c r="N30" s="185"/>
      <c r="O30" s="185"/>
      <c r="P30" s="185"/>
      <c r="Q30" s="185"/>
      <c r="R30" s="185"/>
      <c r="S30" s="185"/>
      <c r="T30" s="185"/>
      <c r="U30" s="185"/>
      <c r="V30" s="185"/>
    </row>
    <row r="31" spans="1:22">
      <c r="A31" s="183">
        <f t="shared" si="3"/>
        <v>116</v>
      </c>
      <c r="B31" s="177" t="str">
        <f t="shared" si="0"/>
        <v>May</v>
      </c>
      <c r="C31" s="186">
        <f>'1-BaseTRR'!$G$1</f>
        <v>2023</v>
      </c>
      <c r="D31" s="200">
        <f t="shared" ref="D31:I38" si="4">D68+D104</f>
        <v>227324311.86141998</v>
      </c>
      <c r="E31" s="200">
        <f t="shared" si="4"/>
        <v>1760039043.0484834</v>
      </c>
      <c r="F31" s="200">
        <f t="shared" si="4"/>
        <v>4201143.8618187429</v>
      </c>
      <c r="G31" s="200">
        <f t="shared" si="4"/>
        <v>3798793.7893822468</v>
      </c>
      <c r="H31" s="200">
        <f t="shared" si="4"/>
        <v>-71952535.437111631</v>
      </c>
      <c r="I31" s="200">
        <f t="shared" si="4"/>
        <v>1831991578.4855952</v>
      </c>
      <c r="J31" s="183">
        <f t="shared" si="2"/>
        <v>116</v>
      </c>
      <c r="M31" s="28"/>
      <c r="N31" s="185"/>
      <c r="O31" s="185"/>
      <c r="P31" s="185"/>
      <c r="Q31" s="185"/>
      <c r="R31" s="185"/>
      <c r="S31" s="185"/>
      <c r="T31" s="185"/>
      <c r="U31" s="185"/>
      <c r="V31" s="185"/>
    </row>
    <row r="32" spans="1:22">
      <c r="A32" s="183">
        <f t="shared" si="3"/>
        <v>117</v>
      </c>
      <c r="B32" s="177" t="str">
        <f t="shared" si="0"/>
        <v xml:space="preserve">June </v>
      </c>
      <c r="C32" s="186">
        <f>'1-BaseTRR'!$G$1</f>
        <v>2023</v>
      </c>
      <c r="D32" s="200">
        <f t="shared" si="4"/>
        <v>59624779.481891699</v>
      </c>
      <c r="E32" s="200">
        <f t="shared" si="4"/>
        <v>1819663822.5303752</v>
      </c>
      <c r="F32" s="200">
        <f t="shared" si="4"/>
        <v>4343465.8616186902</v>
      </c>
      <c r="G32" s="200">
        <f t="shared" si="4"/>
        <v>3422791.4968813863</v>
      </c>
      <c r="H32" s="200">
        <f t="shared" si="4"/>
        <v>-71031861.072374329</v>
      </c>
      <c r="I32" s="200">
        <f t="shared" si="4"/>
        <v>1890695683.6027496</v>
      </c>
      <c r="J32" s="183">
        <f t="shared" si="2"/>
        <v>117</v>
      </c>
      <c r="M32" s="28"/>
      <c r="N32" s="185"/>
      <c r="O32" s="185"/>
      <c r="P32" s="185"/>
      <c r="Q32" s="185"/>
      <c r="R32" s="185"/>
      <c r="S32" s="185"/>
      <c r="T32" s="185"/>
      <c r="U32" s="185"/>
      <c r="V32" s="185"/>
    </row>
    <row r="33" spans="1:22">
      <c r="A33" s="183">
        <f t="shared" si="3"/>
        <v>118</v>
      </c>
      <c r="B33" s="177" t="str">
        <f t="shared" si="0"/>
        <v>July</v>
      </c>
      <c r="C33" s="186">
        <f>'1-BaseTRR'!$G$1</f>
        <v>2023</v>
      </c>
      <c r="D33" s="200">
        <f t="shared" si="4"/>
        <v>106348381.11542998</v>
      </c>
      <c r="E33" s="200">
        <f t="shared" si="4"/>
        <v>1926012203.6458054</v>
      </c>
      <c r="F33" s="200">
        <f t="shared" si="4"/>
        <v>4597315.257915942</v>
      </c>
      <c r="G33" s="200">
        <f t="shared" si="4"/>
        <v>3014217.750058976</v>
      </c>
      <c r="H33" s="200">
        <f t="shared" si="4"/>
        <v>-69448763.564517349</v>
      </c>
      <c r="I33" s="200">
        <f t="shared" si="4"/>
        <v>1995460967.2103229</v>
      </c>
      <c r="J33" s="183">
        <f t="shared" si="2"/>
        <v>118</v>
      </c>
      <c r="M33" s="28"/>
      <c r="N33" s="185"/>
      <c r="O33" s="185"/>
      <c r="P33" s="185"/>
      <c r="Q33" s="185"/>
      <c r="R33" s="185"/>
      <c r="S33" s="185"/>
      <c r="T33" s="185"/>
      <c r="U33" s="185"/>
      <c r="V33" s="185"/>
    </row>
    <row r="34" spans="1:22">
      <c r="A34" s="183">
        <f t="shared" si="3"/>
        <v>119</v>
      </c>
      <c r="B34" s="177" t="str">
        <f t="shared" si="0"/>
        <v>August</v>
      </c>
      <c r="C34" s="186">
        <f>'1-BaseTRR'!$G$1</f>
        <v>2023</v>
      </c>
      <c r="D34" s="200">
        <f t="shared" si="4"/>
        <v>79795732.599498272</v>
      </c>
      <c r="E34" s="200">
        <f t="shared" si="4"/>
        <v>2005807936.2453036</v>
      </c>
      <c r="F34" s="200">
        <f t="shared" si="4"/>
        <v>4787784.5282050092</v>
      </c>
      <c r="G34" s="200">
        <f t="shared" si="4"/>
        <v>3387368.0100780451</v>
      </c>
      <c r="H34" s="200">
        <f t="shared" si="4"/>
        <v>-68048347.046390399</v>
      </c>
      <c r="I34" s="200">
        <f t="shared" si="4"/>
        <v>2073856283.2916942</v>
      </c>
      <c r="J34" s="183">
        <f t="shared" si="2"/>
        <v>119</v>
      </c>
      <c r="M34" s="28"/>
      <c r="N34" s="185"/>
      <c r="O34" s="185"/>
      <c r="P34" s="185"/>
      <c r="Q34" s="185"/>
      <c r="R34" s="185"/>
      <c r="S34" s="185"/>
      <c r="T34" s="185"/>
      <c r="U34" s="185"/>
      <c r="V34" s="185"/>
    </row>
    <row r="35" spans="1:22">
      <c r="A35" s="183">
        <f t="shared" si="3"/>
        <v>120</v>
      </c>
      <c r="B35" s="177" t="str">
        <f t="shared" si="0"/>
        <v>September</v>
      </c>
      <c r="C35" s="186">
        <f>'1-BaseTRR'!$G$1</f>
        <v>2023</v>
      </c>
      <c r="D35" s="200">
        <f t="shared" si="4"/>
        <v>51957387.754123323</v>
      </c>
      <c r="E35" s="200">
        <f t="shared" si="4"/>
        <v>2057765323.9994268</v>
      </c>
      <c r="F35" s="200">
        <f t="shared" si="4"/>
        <v>4911804.7659954708</v>
      </c>
      <c r="G35" s="200">
        <f t="shared" si="4"/>
        <v>3215036.1160677131</v>
      </c>
      <c r="H35" s="200">
        <f t="shared" si="4"/>
        <v>-66351578.396462634</v>
      </c>
      <c r="I35" s="200">
        <f t="shared" si="4"/>
        <v>2124116902.3958893</v>
      </c>
      <c r="J35" s="183">
        <f t="shared" si="2"/>
        <v>120</v>
      </c>
      <c r="M35" s="28"/>
      <c r="N35" s="185"/>
      <c r="O35" s="185"/>
      <c r="P35" s="185"/>
      <c r="Q35" s="185"/>
      <c r="R35" s="185"/>
      <c r="S35" s="185"/>
      <c r="T35" s="185"/>
      <c r="U35" s="185"/>
      <c r="V35" s="185"/>
    </row>
    <row r="36" spans="1:22">
      <c r="A36" s="183">
        <f t="shared" si="3"/>
        <v>121</v>
      </c>
      <c r="B36" s="177" t="str">
        <f t="shared" si="0"/>
        <v>October</v>
      </c>
      <c r="C36" s="186">
        <f>'1-BaseTRR'!$G$1</f>
        <v>2023</v>
      </c>
      <c r="D36" s="200">
        <f t="shared" si="4"/>
        <v>80698909.42913574</v>
      </c>
      <c r="E36" s="200">
        <f t="shared" si="4"/>
        <v>2138464233.4285626</v>
      </c>
      <c r="F36" s="200">
        <f t="shared" si="4"/>
        <v>5104429.8837976679</v>
      </c>
      <c r="G36" s="200">
        <f t="shared" si="4"/>
        <v>3299120.3536909334</v>
      </c>
      <c r="H36" s="200">
        <f t="shared" si="4"/>
        <v>-64546268.866355896</v>
      </c>
      <c r="I36" s="200">
        <f t="shared" si="4"/>
        <v>2203010502.2949185</v>
      </c>
      <c r="J36" s="183">
        <f t="shared" si="2"/>
        <v>121</v>
      </c>
      <c r="M36" s="28"/>
      <c r="N36" s="185"/>
      <c r="O36" s="185"/>
      <c r="P36" s="185"/>
      <c r="Q36" s="185"/>
      <c r="R36" s="185"/>
      <c r="S36" s="185"/>
      <c r="T36" s="185"/>
      <c r="U36" s="185"/>
      <c r="V36" s="185"/>
    </row>
    <row r="37" spans="1:22">
      <c r="A37" s="183">
        <f t="shared" si="3"/>
        <v>122</v>
      </c>
      <c r="B37" s="177" t="str">
        <f t="shared" si="0"/>
        <v>November</v>
      </c>
      <c r="C37" s="186">
        <f>'1-BaseTRR'!$G$1</f>
        <v>2023</v>
      </c>
      <c r="D37" s="200">
        <f t="shared" si="4"/>
        <v>97025439.715009868</v>
      </c>
      <c r="E37" s="200">
        <f t="shared" si="4"/>
        <v>2235489673.1435723</v>
      </c>
      <c r="F37" s="200">
        <f t="shared" si="4"/>
        <v>5336025.7862345614</v>
      </c>
      <c r="G37" s="200">
        <f t="shared" si="4"/>
        <v>2667653.2562859999</v>
      </c>
      <c r="H37" s="200">
        <f t="shared" si="4"/>
        <v>-61877896.336407334</v>
      </c>
      <c r="I37" s="200">
        <f t="shared" si="4"/>
        <v>2297367569.47998</v>
      </c>
      <c r="J37" s="183">
        <f t="shared" si="2"/>
        <v>122</v>
      </c>
      <c r="M37" s="28"/>
      <c r="N37" s="185"/>
      <c r="O37" s="185"/>
      <c r="P37" s="185"/>
      <c r="Q37" s="185"/>
      <c r="R37" s="185"/>
      <c r="S37" s="185"/>
      <c r="T37" s="185"/>
      <c r="U37" s="185"/>
      <c r="V37" s="185"/>
    </row>
    <row r="38" spans="1:22">
      <c r="A38" s="183">
        <f t="shared" si="3"/>
        <v>123</v>
      </c>
      <c r="B38" s="187" t="str">
        <f t="shared" si="0"/>
        <v>December</v>
      </c>
      <c r="C38" s="188">
        <f>'1-BaseTRR'!$G$1</f>
        <v>2023</v>
      </c>
      <c r="D38" s="470">
        <f t="shared" si="4"/>
        <v>160287416.34041917</v>
      </c>
      <c r="E38" s="470">
        <f t="shared" si="4"/>
        <v>2395777089.4839916</v>
      </c>
      <c r="F38" s="470">
        <f t="shared" si="4"/>
        <v>5718625.5347713819</v>
      </c>
      <c r="G38" s="470">
        <f t="shared" si="4"/>
        <v>2411100.9153928785</v>
      </c>
      <c r="H38" s="470">
        <f t="shared" si="4"/>
        <v>-58570371.717028826</v>
      </c>
      <c r="I38" s="470">
        <f t="shared" si="4"/>
        <v>2454347461.2010202</v>
      </c>
      <c r="J38" s="183">
        <f t="shared" si="2"/>
        <v>123</v>
      </c>
      <c r="M38" s="28"/>
      <c r="N38" s="185"/>
      <c r="O38" s="185"/>
      <c r="P38" s="185"/>
      <c r="Q38" s="185"/>
      <c r="R38" s="185"/>
      <c r="S38" s="185"/>
      <c r="T38" s="185"/>
      <c r="U38" s="185"/>
      <c r="V38" s="185"/>
    </row>
    <row r="39" spans="1:22" s="178" customFormat="1">
      <c r="A39" s="183">
        <f t="shared" si="3"/>
        <v>124</v>
      </c>
      <c r="C39" s="178" t="s">
        <v>799</v>
      </c>
      <c r="D39" s="201"/>
      <c r="E39" s="201">
        <f>SUM(E26:E38)/13</f>
        <v>1754255954.595365</v>
      </c>
      <c r="H39" s="200"/>
      <c r="I39" s="201">
        <f>SUM(I26:I38)/13</f>
        <v>1821895836.9891291</v>
      </c>
      <c r="J39" s="183">
        <f t="shared" si="2"/>
        <v>124</v>
      </c>
    </row>
    <row r="40" spans="1:22">
      <c r="A40" s="183">
        <v>125</v>
      </c>
      <c r="C40" s="546" t="s">
        <v>800</v>
      </c>
      <c r="F40" s="201">
        <f>SUM(F27:F38)</f>
        <v>51787437.452360928</v>
      </c>
      <c r="J40" s="183">
        <v>125</v>
      </c>
      <c r="N40" s="185"/>
    </row>
    <row r="41" spans="1:22">
      <c r="A41" s="183"/>
      <c r="C41" s="546"/>
      <c r="F41" s="201"/>
      <c r="J41" s="183"/>
      <c r="N41" s="185"/>
    </row>
    <row r="42" spans="1:22">
      <c r="B42" s="180" t="s">
        <v>801</v>
      </c>
      <c r="C42" s="181"/>
      <c r="D42" s="181"/>
      <c r="E42" s="181"/>
      <c r="F42" s="189"/>
      <c r="G42" s="181"/>
      <c r="H42" s="181"/>
      <c r="I42" s="189"/>
    </row>
    <row r="43" spans="1:22">
      <c r="B43" s="177" t="s">
        <v>802</v>
      </c>
    </row>
    <row r="44" spans="1:22">
      <c r="B44" s="177" t="s">
        <v>803</v>
      </c>
    </row>
    <row r="45" spans="1:22">
      <c r="B45" s="177" t="s">
        <v>804</v>
      </c>
    </row>
    <row r="47" spans="1:22">
      <c r="A47" s="183"/>
      <c r="D47" s="175" t="s">
        <v>371</v>
      </c>
      <c r="E47" s="175" t="s">
        <v>372</v>
      </c>
      <c r="F47" s="175" t="s">
        <v>373</v>
      </c>
      <c r="G47" s="175" t="s">
        <v>374</v>
      </c>
      <c r="H47" s="175" t="s">
        <v>375</v>
      </c>
      <c r="I47" s="175" t="s">
        <v>376</v>
      </c>
      <c r="J47" s="183"/>
    </row>
    <row r="48" spans="1:22" ht="29">
      <c r="A48" s="183"/>
      <c r="D48" s="190" t="s">
        <v>111</v>
      </c>
      <c r="E48" s="190" t="s">
        <v>805</v>
      </c>
      <c r="F48" s="190" t="s">
        <v>806</v>
      </c>
      <c r="G48" s="190" t="s">
        <v>203</v>
      </c>
      <c r="H48" s="190" t="s">
        <v>807</v>
      </c>
      <c r="I48" s="190" t="s">
        <v>808</v>
      </c>
      <c r="J48" s="183"/>
    </row>
    <row r="49" spans="1:13">
      <c r="A49" s="183"/>
      <c r="E49" s="183"/>
      <c r="F49" s="183"/>
      <c r="G49" s="183"/>
      <c r="H49" s="183"/>
      <c r="J49" s="183"/>
    </row>
    <row r="50" spans="1:13">
      <c r="A50" s="183"/>
      <c r="B50" s="844" t="str">
        <f>B13</f>
        <v>Forecast Period</v>
      </c>
      <c r="C50" s="844"/>
      <c r="D50" s="183" t="s">
        <v>788</v>
      </c>
      <c r="E50" s="183" t="s">
        <v>789</v>
      </c>
      <c r="F50" s="183" t="s">
        <v>790</v>
      </c>
      <c r="G50" s="183" t="s">
        <v>791</v>
      </c>
      <c r="H50" s="183" t="s">
        <v>789</v>
      </c>
      <c r="I50" s="183" t="s">
        <v>792</v>
      </c>
      <c r="J50" s="183"/>
    </row>
    <row r="51" spans="1:13">
      <c r="A51" s="184" t="s">
        <v>100</v>
      </c>
      <c r="B51" s="184" t="str">
        <f>B14</f>
        <v>Month</v>
      </c>
      <c r="C51" s="184" t="str">
        <f>C14</f>
        <v>Year</v>
      </c>
      <c r="D51" s="184" t="s">
        <v>798</v>
      </c>
      <c r="E51" s="184" t="s">
        <v>794</v>
      </c>
      <c r="F51" s="184" t="s">
        <v>795</v>
      </c>
      <c r="G51" s="184" t="s">
        <v>796</v>
      </c>
      <c r="H51" s="184" t="s">
        <v>797</v>
      </c>
      <c r="I51" s="184" t="s">
        <v>798</v>
      </c>
      <c r="J51" s="184" t="str">
        <f>A51</f>
        <v>Line</v>
      </c>
      <c r="M51" s="184"/>
    </row>
    <row r="52" spans="1:13">
      <c r="A52" s="183">
        <v>200</v>
      </c>
      <c r="B52" s="182" t="s">
        <v>430</v>
      </c>
      <c r="C52" s="158">
        <f>'1-BaseTRR'!$G$2+1</f>
        <v>2022</v>
      </c>
      <c r="D52" s="471">
        <v>22248100.637172796</v>
      </c>
      <c r="E52" s="200">
        <f>D52</f>
        <v>22248100.637172796</v>
      </c>
      <c r="F52" s="200">
        <f>E52*'12-DepRates'!$N$21/12</f>
        <v>53105.339792402221</v>
      </c>
      <c r="G52" s="471">
        <v>3395990.8978143646</v>
      </c>
      <c r="H52" s="200">
        <f>F52-G52</f>
        <v>-3342885.5580219626</v>
      </c>
      <c r="I52" s="200">
        <f>E52-H52</f>
        <v>25590986.195194758</v>
      </c>
      <c r="J52" s="183">
        <f t="shared" ref="J52:J76" si="5">A52</f>
        <v>200</v>
      </c>
      <c r="L52" s="185"/>
    </row>
    <row r="53" spans="1:13">
      <c r="A53" s="183">
        <f t="shared" ref="A53:A112" si="6">A52+1</f>
        <v>201</v>
      </c>
      <c r="B53" s="182" t="s">
        <v>431</v>
      </c>
      <c r="C53" s="158">
        <f>'1-BaseTRR'!$G$2+1</f>
        <v>2022</v>
      </c>
      <c r="D53" s="471">
        <v>29204774.852992278</v>
      </c>
      <c r="E53" s="200">
        <f>E52+D53</f>
        <v>51452875.49016507</v>
      </c>
      <c r="F53" s="200">
        <f>E53*'12-DepRates'!$N$21/12</f>
        <v>122815.98689085245</v>
      </c>
      <c r="G53" s="471">
        <v>3057475.7213798412</v>
      </c>
      <c r="H53" s="200">
        <f>H52+F53-G53</f>
        <v>-6277545.2925109509</v>
      </c>
      <c r="I53" s="200">
        <f t="shared" ref="I53:I75" si="7">E53-H53</f>
        <v>57730420.782676019</v>
      </c>
      <c r="J53" s="183">
        <f t="shared" si="5"/>
        <v>201</v>
      </c>
      <c r="L53" s="185"/>
    </row>
    <row r="54" spans="1:13">
      <c r="A54" s="183">
        <f t="shared" si="6"/>
        <v>202</v>
      </c>
      <c r="B54" s="182" t="s">
        <v>432</v>
      </c>
      <c r="C54" s="158">
        <f>'1-BaseTRR'!$G$2+1</f>
        <v>2022</v>
      </c>
      <c r="D54" s="471">
        <v>42491597.747637421</v>
      </c>
      <c r="E54" s="200">
        <f t="shared" ref="E54:E75" si="8">E53+D54</f>
        <v>93944473.237802491</v>
      </c>
      <c r="F54" s="200">
        <f>E54*'12-DepRates'!$N$21/12</f>
        <v>224241.75682557121</v>
      </c>
      <c r="G54" s="471">
        <v>3936206.5568366041</v>
      </c>
      <c r="H54" s="200">
        <f t="shared" ref="H54:H75" si="9">H53+F54-G54</f>
        <v>-9989510.0925219841</v>
      </c>
      <c r="I54" s="200">
        <f t="shared" si="7"/>
        <v>103933983.33032447</v>
      </c>
      <c r="J54" s="183">
        <f t="shared" si="5"/>
        <v>202</v>
      </c>
      <c r="L54" s="185"/>
    </row>
    <row r="55" spans="1:13">
      <c r="A55" s="183">
        <f t="shared" si="6"/>
        <v>203</v>
      </c>
      <c r="B55" s="182" t="s">
        <v>433</v>
      </c>
      <c r="C55" s="158">
        <f>'1-BaseTRR'!$G$2+1</f>
        <v>2022</v>
      </c>
      <c r="D55" s="471">
        <v>53367075.760252059</v>
      </c>
      <c r="E55" s="200">
        <f t="shared" si="8"/>
        <v>147311548.99805456</v>
      </c>
      <c r="F55" s="200">
        <f>E55*'12-DepRates'!$N$21/12</f>
        <v>351626.86435424705</v>
      </c>
      <c r="G55" s="471">
        <v>3354736.3175124098</v>
      </c>
      <c r="H55" s="200">
        <f t="shared" si="9"/>
        <v>-12992619.545680147</v>
      </c>
      <c r="I55" s="200">
        <f t="shared" si="7"/>
        <v>160304168.5437347</v>
      </c>
      <c r="J55" s="183">
        <f t="shared" si="5"/>
        <v>203</v>
      </c>
      <c r="L55" s="185"/>
    </row>
    <row r="56" spans="1:13">
      <c r="A56" s="183">
        <f t="shared" si="6"/>
        <v>204</v>
      </c>
      <c r="B56" s="182" t="s">
        <v>395</v>
      </c>
      <c r="C56" s="158">
        <f>'1-BaseTRR'!$G$2+1</f>
        <v>2022</v>
      </c>
      <c r="D56" s="471">
        <v>25214768.954938166</v>
      </c>
      <c r="E56" s="200">
        <f t="shared" si="8"/>
        <v>172526317.95299274</v>
      </c>
      <c r="F56" s="200">
        <f>E56*'12-DepRates'!$N$21/12</f>
        <v>411813.52455397666</v>
      </c>
      <c r="G56" s="471">
        <v>3460108.7921032123</v>
      </c>
      <c r="H56" s="200">
        <f t="shared" si="9"/>
        <v>-16040914.813229382</v>
      </c>
      <c r="I56" s="200">
        <f t="shared" si="7"/>
        <v>188567232.76622212</v>
      </c>
      <c r="J56" s="183">
        <f t="shared" si="5"/>
        <v>204</v>
      </c>
      <c r="L56" s="185"/>
    </row>
    <row r="57" spans="1:13">
      <c r="A57" s="183">
        <f t="shared" si="6"/>
        <v>205</v>
      </c>
      <c r="B57" s="182" t="s">
        <v>434</v>
      </c>
      <c r="C57" s="158">
        <f>'1-BaseTRR'!$G$2+1</f>
        <v>2022</v>
      </c>
      <c r="D57" s="471">
        <v>28732762.259623576</v>
      </c>
      <c r="E57" s="200">
        <f t="shared" si="8"/>
        <v>201259080.21261632</v>
      </c>
      <c r="F57" s="200">
        <f>E57*'12-DepRates'!$N$21/12</f>
        <v>480397.49618624104</v>
      </c>
      <c r="G57" s="471">
        <v>3605624.6995817199</v>
      </c>
      <c r="H57" s="200">
        <f t="shared" si="9"/>
        <v>-19166142.01662486</v>
      </c>
      <c r="I57" s="200">
        <f t="shared" si="7"/>
        <v>220425222.22924119</v>
      </c>
      <c r="J57" s="183">
        <f t="shared" si="5"/>
        <v>205</v>
      </c>
    </row>
    <row r="58" spans="1:13">
      <c r="A58" s="183">
        <f t="shared" si="6"/>
        <v>206</v>
      </c>
      <c r="B58" s="182" t="s">
        <v>435</v>
      </c>
      <c r="C58" s="158">
        <f>'1-BaseTRR'!$G$2+1</f>
        <v>2022</v>
      </c>
      <c r="D58" s="471">
        <v>37274418.975493893</v>
      </c>
      <c r="E58" s="200">
        <f t="shared" si="8"/>
        <v>238533499.18811023</v>
      </c>
      <c r="F58" s="200">
        <f>E58*'12-DepRates'!$N$21/12</f>
        <v>569370.06591431075</v>
      </c>
      <c r="G58" s="471">
        <v>2755974.0435087373</v>
      </c>
      <c r="H58" s="200">
        <f t="shared" si="9"/>
        <v>-21352745.994219288</v>
      </c>
      <c r="I58" s="200">
        <f t="shared" si="7"/>
        <v>259886245.18232954</v>
      </c>
      <c r="J58" s="183">
        <f t="shared" si="5"/>
        <v>206</v>
      </c>
      <c r="L58" s="185"/>
    </row>
    <row r="59" spans="1:13">
      <c r="A59" s="183">
        <f t="shared" si="6"/>
        <v>207</v>
      </c>
      <c r="B59" s="182" t="s">
        <v>436</v>
      </c>
      <c r="C59" s="158">
        <f>'1-BaseTRR'!$G$2+1</f>
        <v>2022</v>
      </c>
      <c r="D59" s="471">
        <v>65048204.151320383</v>
      </c>
      <c r="E59" s="200">
        <f t="shared" si="8"/>
        <v>303581703.33943063</v>
      </c>
      <c r="F59" s="200">
        <f>E59*'12-DepRates'!$N$21/12</f>
        <v>724637.56675299769</v>
      </c>
      <c r="G59" s="471">
        <v>3653983.1486339755</v>
      </c>
      <c r="H59" s="200">
        <f t="shared" si="9"/>
        <v>-24282091.576100267</v>
      </c>
      <c r="I59" s="200">
        <f t="shared" si="7"/>
        <v>327863794.91553092</v>
      </c>
      <c r="J59" s="183">
        <f t="shared" si="5"/>
        <v>207</v>
      </c>
      <c r="L59" s="185"/>
    </row>
    <row r="60" spans="1:13">
      <c r="A60" s="183">
        <f t="shared" si="6"/>
        <v>208</v>
      </c>
      <c r="B60" s="182" t="s">
        <v>437</v>
      </c>
      <c r="C60" s="158">
        <f>'1-BaseTRR'!$G$2+1</f>
        <v>2022</v>
      </c>
      <c r="D60" s="471">
        <v>34078007.247745767</v>
      </c>
      <c r="E60" s="200">
        <f t="shared" si="8"/>
        <v>337659710.58717638</v>
      </c>
      <c r="F60" s="200">
        <f>E60*'12-DepRates'!$N$21/12</f>
        <v>805980.42760448728</v>
      </c>
      <c r="G60" s="471">
        <v>3466375.1900597299</v>
      </c>
      <c r="H60" s="200">
        <f t="shared" si="9"/>
        <v>-26942486.338555507</v>
      </c>
      <c r="I60" s="200">
        <f t="shared" si="7"/>
        <v>364602196.9257319</v>
      </c>
      <c r="J60" s="183">
        <f t="shared" si="5"/>
        <v>208</v>
      </c>
      <c r="L60" s="185"/>
    </row>
    <row r="61" spans="1:13">
      <c r="A61" s="183">
        <f t="shared" si="6"/>
        <v>209</v>
      </c>
      <c r="B61" s="182" t="s">
        <v>809</v>
      </c>
      <c r="C61" s="158">
        <f>'1-BaseTRR'!$G$2+1</f>
        <v>2022</v>
      </c>
      <c r="D61" s="471">
        <v>15878048.915863667</v>
      </c>
      <c r="E61" s="200">
        <f t="shared" si="8"/>
        <v>353537759.50304008</v>
      </c>
      <c r="F61" s="200">
        <f>E61*'12-DepRates'!$N$21/12</f>
        <v>843880.70487617794</v>
      </c>
      <c r="G61" s="471">
        <v>2607386.9811568977</v>
      </c>
      <c r="H61" s="200">
        <f t="shared" si="9"/>
        <v>-28705992.614836227</v>
      </c>
      <c r="I61" s="200">
        <f t="shared" si="7"/>
        <v>382243752.11787629</v>
      </c>
      <c r="J61" s="183">
        <f t="shared" si="5"/>
        <v>209</v>
      </c>
      <c r="L61" s="185"/>
    </row>
    <row r="62" spans="1:13">
      <c r="A62" s="183">
        <f t="shared" si="6"/>
        <v>210</v>
      </c>
      <c r="B62" s="182" t="s">
        <v>439</v>
      </c>
      <c r="C62" s="158">
        <f>'1-BaseTRR'!$G$2+1</f>
        <v>2022</v>
      </c>
      <c r="D62" s="471">
        <v>50005484.937501848</v>
      </c>
      <c r="E62" s="200">
        <f t="shared" si="8"/>
        <v>403543244.44054192</v>
      </c>
      <c r="F62" s="200">
        <f>E62*'12-DepRates'!$N$21/12</f>
        <v>963241.8275354713</v>
      </c>
      <c r="G62" s="471">
        <v>2405309.815479314</v>
      </c>
      <c r="H62" s="200">
        <f t="shared" si="9"/>
        <v>-30148060.602780066</v>
      </c>
      <c r="I62" s="200">
        <f t="shared" si="7"/>
        <v>433691305.04332197</v>
      </c>
      <c r="J62" s="183">
        <f t="shared" si="5"/>
        <v>210</v>
      </c>
      <c r="L62" s="185"/>
    </row>
    <row r="63" spans="1:13">
      <c r="A63" s="183">
        <f t="shared" si="6"/>
        <v>211</v>
      </c>
      <c r="B63" s="182" t="s">
        <v>428</v>
      </c>
      <c r="C63" s="158">
        <f>'1-BaseTRR'!$G$2+1</f>
        <v>2022</v>
      </c>
      <c r="D63" s="471">
        <v>34538920.657587856</v>
      </c>
      <c r="E63" s="200">
        <f t="shared" si="8"/>
        <v>438082165.09812975</v>
      </c>
      <c r="F63" s="200">
        <f>E63*'12-DepRates'!$N$21/12</f>
        <v>1045684.8705393034</v>
      </c>
      <c r="G63" s="471">
        <v>2589935.9741239259</v>
      </c>
      <c r="H63" s="200">
        <f t="shared" si="9"/>
        <v>-31692311.706364688</v>
      </c>
      <c r="I63" s="200">
        <f t="shared" si="7"/>
        <v>469774476.80449444</v>
      </c>
      <c r="J63" s="183">
        <f t="shared" si="5"/>
        <v>211</v>
      </c>
      <c r="L63" s="185"/>
    </row>
    <row r="64" spans="1:13">
      <c r="A64" s="183">
        <f t="shared" si="6"/>
        <v>212</v>
      </c>
      <c r="B64" s="182" t="s">
        <v>430</v>
      </c>
      <c r="C64" s="158">
        <f>'1-BaseTRR'!$G$1</f>
        <v>2023</v>
      </c>
      <c r="D64" s="471">
        <v>19862530.332100883</v>
      </c>
      <c r="E64" s="200">
        <f t="shared" si="8"/>
        <v>457944695.43023062</v>
      </c>
      <c r="F64" s="200">
        <f>E64*'12-DepRates'!$N$21/12</f>
        <v>1093095.9479892459</v>
      </c>
      <c r="G64" s="471">
        <v>1912702.0940635027</v>
      </c>
      <c r="H64" s="200">
        <f t="shared" si="9"/>
        <v>-32511917.852438945</v>
      </c>
      <c r="I64" s="200">
        <f t="shared" si="7"/>
        <v>490456613.28266954</v>
      </c>
      <c r="J64" s="183">
        <f t="shared" si="5"/>
        <v>212</v>
      </c>
      <c r="L64" s="185"/>
    </row>
    <row r="65" spans="1:12">
      <c r="A65" s="183">
        <f t="shared" si="6"/>
        <v>213</v>
      </c>
      <c r="B65" s="182" t="s">
        <v>431</v>
      </c>
      <c r="C65" s="186">
        <f>'1-BaseTRR'!$G$1</f>
        <v>2023</v>
      </c>
      <c r="D65" s="471">
        <v>57061623.744722791</v>
      </c>
      <c r="E65" s="200">
        <f t="shared" si="8"/>
        <v>515006319.1749534</v>
      </c>
      <c r="F65" s="200">
        <f>E65*'12-DepRates'!$N$21/12</f>
        <v>1229299.7960160132</v>
      </c>
      <c r="G65" s="471">
        <v>2129036.1200491381</v>
      </c>
      <c r="H65" s="200">
        <f t="shared" si="9"/>
        <v>-33411654.176472072</v>
      </c>
      <c r="I65" s="200">
        <f t="shared" si="7"/>
        <v>548417973.35142553</v>
      </c>
      <c r="J65" s="183">
        <f t="shared" si="5"/>
        <v>213</v>
      </c>
      <c r="L65" s="185"/>
    </row>
    <row r="66" spans="1:12">
      <c r="A66" s="183">
        <f t="shared" si="6"/>
        <v>214</v>
      </c>
      <c r="B66" s="182" t="s">
        <v>432</v>
      </c>
      <c r="C66" s="186">
        <f>'1-BaseTRR'!$G$1</f>
        <v>2023</v>
      </c>
      <c r="D66" s="471">
        <v>48471976.745469496</v>
      </c>
      <c r="E66" s="200">
        <f t="shared" si="8"/>
        <v>563478295.92042291</v>
      </c>
      <c r="F66" s="200">
        <f>E66*'12-DepRates'!$N$21/12</f>
        <v>1345000.4950310411</v>
      </c>
      <c r="G66" s="471">
        <v>1974457.994656262</v>
      </c>
      <c r="H66" s="200">
        <f t="shared" si="9"/>
        <v>-34041111.676097296</v>
      </c>
      <c r="I66" s="200">
        <f t="shared" si="7"/>
        <v>597519407.59652019</v>
      </c>
      <c r="J66" s="183">
        <f t="shared" si="5"/>
        <v>214</v>
      </c>
      <c r="L66" s="185"/>
    </row>
    <row r="67" spans="1:12">
      <c r="A67" s="183">
        <f t="shared" si="6"/>
        <v>215</v>
      </c>
      <c r="B67" s="182" t="s">
        <v>433</v>
      </c>
      <c r="C67" s="186">
        <f>'1-BaseTRR'!$G$1</f>
        <v>2023</v>
      </c>
      <c r="D67" s="471">
        <v>102222828.69666289</v>
      </c>
      <c r="E67" s="200">
        <f t="shared" si="8"/>
        <v>665701124.61708581</v>
      </c>
      <c r="F67" s="200">
        <f>E67*'12-DepRates'!$N$21/12</f>
        <v>1589002.3602242691</v>
      </c>
      <c r="G67" s="471">
        <v>2824025.6556923296</v>
      </c>
      <c r="H67" s="200">
        <f t="shared" si="9"/>
        <v>-35276134.971565358</v>
      </c>
      <c r="I67" s="200">
        <f t="shared" si="7"/>
        <v>700977259.58865118</v>
      </c>
      <c r="J67" s="183">
        <f t="shared" si="5"/>
        <v>215</v>
      </c>
      <c r="L67" s="185"/>
    </row>
    <row r="68" spans="1:12">
      <c r="A68" s="183">
        <f t="shared" si="6"/>
        <v>216</v>
      </c>
      <c r="B68" s="182" t="s">
        <v>395</v>
      </c>
      <c r="C68" s="186">
        <f>'1-BaseTRR'!$G$1</f>
        <v>2023</v>
      </c>
      <c r="D68" s="471">
        <v>102241886.26499395</v>
      </c>
      <c r="E68" s="200">
        <f t="shared" si="8"/>
        <v>767943010.88207972</v>
      </c>
      <c r="F68" s="200">
        <f>E68*'12-DepRates'!$N$21/12</f>
        <v>1833049.7150823607</v>
      </c>
      <c r="G68" s="471">
        <v>1414724.28386585</v>
      </c>
      <c r="H68" s="200">
        <f t="shared" si="9"/>
        <v>-34857809.540348843</v>
      </c>
      <c r="I68" s="200">
        <f t="shared" si="7"/>
        <v>802800820.42242861</v>
      </c>
      <c r="J68" s="183">
        <f t="shared" si="5"/>
        <v>216</v>
      </c>
      <c r="L68" s="185"/>
    </row>
    <row r="69" spans="1:12">
      <c r="A69" s="183">
        <f t="shared" si="6"/>
        <v>217</v>
      </c>
      <c r="B69" s="182" t="s">
        <v>434</v>
      </c>
      <c r="C69" s="186">
        <f>'1-BaseTRR'!$G$1</f>
        <v>2023</v>
      </c>
      <c r="D69" s="471">
        <v>25174522.572604507</v>
      </c>
      <c r="E69" s="200">
        <f t="shared" si="8"/>
        <v>793117533.45468426</v>
      </c>
      <c r="F69" s="200">
        <f>E69*'12-DepRates'!$N$21/12</f>
        <v>1893140.3087529021</v>
      </c>
      <c r="G69" s="471">
        <v>1411370.6526707031</v>
      </c>
      <c r="H69" s="200">
        <f t="shared" si="9"/>
        <v>-34376039.884266645</v>
      </c>
      <c r="I69" s="200">
        <f t="shared" si="7"/>
        <v>827493573.33895087</v>
      </c>
      <c r="J69" s="183">
        <f t="shared" si="5"/>
        <v>217</v>
      </c>
      <c r="L69" s="185"/>
    </row>
    <row r="70" spans="1:12">
      <c r="A70" s="183">
        <f t="shared" si="6"/>
        <v>218</v>
      </c>
      <c r="B70" s="182" t="s">
        <v>435</v>
      </c>
      <c r="C70" s="186">
        <f>'1-BaseTRR'!$G$1</f>
        <v>2023</v>
      </c>
      <c r="D70" s="471">
        <v>54621573.280806512</v>
      </c>
      <c r="E70" s="200">
        <f t="shared" si="8"/>
        <v>847739106.7354908</v>
      </c>
      <c r="F70" s="200">
        <f>E70*'12-DepRates'!$N$21/12</f>
        <v>2023519.8524442075</v>
      </c>
      <c r="G70" s="471">
        <v>1247245.9294005572</v>
      </c>
      <c r="H70" s="200">
        <f t="shared" si="9"/>
        <v>-33599765.961222991</v>
      </c>
      <c r="I70" s="200">
        <f t="shared" si="7"/>
        <v>881338872.69671381</v>
      </c>
      <c r="J70" s="183">
        <f t="shared" si="5"/>
        <v>218</v>
      </c>
      <c r="L70" s="185"/>
    </row>
    <row r="71" spans="1:12">
      <c r="A71" s="183">
        <f t="shared" si="6"/>
        <v>219</v>
      </c>
      <c r="B71" s="182" t="s">
        <v>436</v>
      </c>
      <c r="C71" s="186">
        <f>'1-BaseTRR'!$G$1</f>
        <v>2023</v>
      </c>
      <c r="D71" s="471">
        <v>43372452.807728559</v>
      </c>
      <c r="E71" s="200">
        <f t="shared" si="8"/>
        <v>891111559.54321933</v>
      </c>
      <c r="F71" s="200">
        <f>E71*'12-DepRates'!$N$21/12</f>
        <v>2127048.1887074802</v>
      </c>
      <c r="G71" s="471">
        <v>1547338.3736432963</v>
      </c>
      <c r="H71" s="200">
        <f t="shared" si="9"/>
        <v>-33020056.146158811</v>
      </c>
      <c r="I71" s="200">
        <f t="shared" si="7"/>
        <v>924131615.68937814</v>
      </c>
      <c r="J71" s="183">
        <f t="shared" si="5"/>
        <v>219</v>
      </c>
      <c r="L71" s="185"/>
    </row>
    <row r="72" spans="1:12">
      <c r="A72" s="183">
        <f t="shared" si="6"/>
        <v>220</v>
      </c>
      <c r="B72" s="182" t="s">
        <v>437</v>
      </c>
      <c r="C72" s="186">
        <f>'1-BaseTRR'!$G$1</f>
        <v>2023</v>
      </c>
      <c r="D72" s="471">
        <v>17923392.293164767</v>
      </c>
      <c r="E72" s="200">
        <f t="shared" si="8"/>
        <v>909034951.83638406</v>
      </c>
      <c r="F72" s="200">
        <f>E72*'12-DepRates'!$N$21/12</f>
        <v>2169830.6200477402</v>
      </c>
      <c r="G72" s="471">
        <v>1168941.9988314935</v>
      </c>
      <c r="H72" s="200">
        <f t="shared" si="9"/>
        <v>-32019167.524942562</v>
      </c>
      <c r="I72" s="200">
        <f t="shared" si="7"/>
        <v>941054119.36132658</v>
      </c>
      <c r="J72" s="183">
        <f t="shared" si="5"/>
        <v>220</v>
      </c>
      <c r="L72" s="185"/>
    </row>
    <row r="73" spans="1:12">
      <c r="A73" s="183">
        <f t="shared" si="6"/>
        <v>221</v>
      </c>
      <c r="B73" s="182" t="s">
        <v>438</v>
      </c>
      <c r="C73" s="186">
        <f>'1-BaseTRR'!$G$1</f>
        <v>2023</v>
      </c>
      <c r="D73" s="471">
        <v>24886590.330064528</v>
      </c>
      <c r="E73" s="200">
        <f t="shared" si="8"/>
        <v>933921542.16644859</v>
      </c>
      <c r="F73" s="200">
        <f>E73*'12-DepRates'!$N$21/12</f>
        <v>2229233.9307979709</v>
      </c>
      <c r="G73" s="471">
        <v>1200961.8463451425</v>
      </c>
      <c r="H73" s="200">
        <f t="shared" si="9"/>
        <v>-30990895.440489732</v>
      </c>
      <c r="I73" s="200">
        <f t="shared" si="7"/>
        <v>964912437.60693836</v>
      </c>
      <c r="J73" s="183">
        <f t="shared" si="5"/>
        <v>221</v>
      </c>
      <c r="L73" s="185"/>
    </row>
    <row r="74" spans="1:12">
      <c r="A74" s="183">
        <f t="shared" si="6"/>
        <v>222</v>
      </c>
      <c r="B74" s="182" t="s">
        <v>439</v>
      </c>
      <c r="C74" s="186">
        <f>'1-BaseTRR'!$G$1</f>
        <v>2023</v>
      </c>
      <c r="D74" s="471">
        <v>32054803.598887302</v>
      </c>
      <c r="E74" s="200">
        <f t="shared" si="8"/>
        <v>965976345.76533592</v>
      </c>
      <c r="F74" s="200">
        <f>E74*'12-DepRates'!$N$21/12</f>
        <v>2305747.4842405245</v>
      </c>
      <c r="G74" s="471">
        <v>1212120.2327979091</v>
      </c>
      <c r="H74" s="200">
        <f t="shared" si="9"/>
        <v>-29897268.189047117</v>
      </c>
      <c r="I74" s="200">
        <f t="shared" si="7"/>
        <v>995873613.95438302</v>
      </c>
      <c r="J74" s="183">
        <f t="shared" si="5"/>
        <v>222</v>
      </c>
      <c r="L74" s="185"/>
    </row>
    <row r="75" spans="1:12">
      <c r="A75" s="183">
        <f t="shared" si="6"/>
        <v>223</v>
      </c>
      <c r="B75" s="191" t="s">
        <v>428</v>
      </c>
      <c r="C75" s="188">
        <f>'1-BaseTRR'!$G$1</f>
        <v>2023</v>
      </c>
      <c r="D75" s="475">
        <v>89156226.171243101</v>
      </c>
      <c r="E75" s="470">
        <f t="shared" si="8"/>
        <v>1055132571.936579</v>
      </c>
      <c r="F75" s="470">
        <f>E75*'12-DepRates'!$N$21/12</f>
        <v>2518559.8839435936</v>
      </c>
      <c r="G75" s="475">
        <v>1135255.363832708</v>
      </c>
      <c r="H75" s="470">
        <f t="shared" si="9"/>
        <v>-28513963.66893623</v>
      </c>
      <c r="I75" s="470">
        <f t="shared" si="7"/>
        <v>1083646535.6055152</v>
      </c>
      <c r="J75" s="183">
        <f t="shared" si="5"/>
        <v>223</v>
      </c>
      <c r="L75" s="185"/>
    </row>
    <row r="76" spans="1:12">
      <c r="A76" s="183">
        <f t="shared" si="6"/>
        <v>224</v>
      </c>
      <c r="B76" s="178"/>
      <c r="C76" s="183" t="s">
        <v>810</v>
      </c>
      <c r="D76" s="201"/>
      <c r="E76" s="201">
        <f>SUM(E63:E75)/13</f>
        <v>754168401.73546493</v>
      </c>
      <c r="F76" s="200"/>
      <c r="G76" s="200"/>
      <c r="H76" s="200"/>
      <c r="I76" s="201">
        <f>SUM(I63:I75)/13</f>
        <v>786799793.79226112</v>
      </c>
      <c r="J76" s="183">
        <f t="shared" si="5"/>
        <v>224</v>
      </c>
    </row>
    <row r="77" spans="1:12">
      <c r="A77" s="183"/>
      <c r="D77" s="192"/>
      <c r="J77" s="183"/>
    </row>
    <row r="78" spans="1:12">
      <c r="B78" s="180" t="s">
        <v>811</v>
      </c>
      <c r="C78" s="181"/>
      <c r="D78" s="193"/>
      <c r="E78" s="181"/>
      <c r="F78" s="181"/>
      <c r="G78" s="181"/>
      <c r="H78" s="181"/>
      <c r="I78" s="181"/>
    </row>
    <row r="79" spans="1:12">
      <c r="B79" s="177" t="s">
        <v>812</v>
      </c>
    </row>
    <row r="80" spans="1:12">
      <c r="B80" s="177" t="s">
        <v>803</v>
      </c>
    </row>
    <row r="81" spans="1:13">
      <c r="B81" s="177" t="s">
        <v>804</v>
      </c>
    </row>
    <row r="83" spans="1:13">
      <c r="A83" s="183"/>
      <c r="D83" s="175" t="s">
        <v>371</v>
      </c>
      <c r="E83" s="175" t="s">
        <v>372</v>
      </c>
      <c r="F83" s="175" t="s">
        <v>373</v>
      </c>
      <c r="G83" s="175" t="s">
        <v>374</v>
      </c>
      <c r="H83" s="175" t="s">
        <v>375</v>
      </c>
      <c r="I83" s="175" t="s">
        <v>376</v>
      </c>
      <c r="J83" s="183"/>
    </row>
    <row r="84" spans="1:13" ht="29">
      <c r="A84" s="183"/>
      <c r="D84" s="190" t="s">
        <v>111</v>
      </c>
      <c r="E84" s="190" t="s">
        <v>805</v>
      </c>
      <c r="F84" s="190" t="s">
        <v>806</v>
      </c>
      <c r="G84" s="190" t="s">
        <v>203</v>
      </c>
      <c r="H84" s="190" t="s">
        <v>807</v>
      </c>
      <c r="I84" s="190" t="s">
        <v>808</v>
      </c>
      <c r="J84" s="183"/>
    </row>
    <row r="85" spans="1:13">
      <c r="A85" s="183"/>
      <c r="E85" s="183"/>
      <c r="F85" s="183"/>
      <c r="G85" s="183"/>
      <c r="H85" s="183"/>
      <c r="I85" s="186"/>
      <c r="J85" s="183"/>
    </row>
    <row r="86" spans="1:13">
      <c r="A86" s="183"/>
      <c r="B86" s="844" t="str">
        <f>B13</f>
        <v>Forecast Period</v>
      </c>
      <c r="C86" s="844"/>
      <c r="D86" s="183" t="s">
        <v>788</v>
      </c>
      <c r="E86" s="183" t="s">
        <v>789</v>
      </c>
      <c r="F86" s="183" t="s">
        <v>790</v>
      </c>
      <c r="G86" s="183" t="s">
        <v>791</v>
      </c>
      <c r="H86" s="183" t="s">
        <v>789</v>
      </c>
      <c r="I86" s="183" t="s">
        <v>792</v>
      </c>
      <c r="J86" s="183"/>
    </row>
    <row r="87" spans="1:13">
      <c r="A87" s="184" t="s">
        <v>100</v>
      </c>
      <c r="B87" s="184" t="str">
        <f>B14</f>
        <v>Month</v>
      </c>
      <c r="C87" s="184" t="str">
        <f>C14</f>
        <v>Year</v>
      </c>
      <c r="D87" s="184" t="s">
        <v>798</v>
      </c>
      <c r="E87" s="184" t="s">
        <v>794</v>
      </c>
      <c r="F87" s="184" t="s">
        <v>795</v>
      </c>
      <c r="G87" s="184" t="s">
        <v>796</v>
      </c>
      <c r="H87" s="184" t="s">
        <v>797</v>
      </c>
      <c r="I87" s="184" t="s">
        <v>798</v>
      </c>
      <c r="J87" s="184" t="str">
        <f>A87</f>
        <v>Line</v>
      </c>
      <c r="L87" s="194"/>
      <c r="M87" s="184"/>
    </row>
    <row r="88" spans="1:13">
      <c r="A88" s="183">
        <v>300</v>
      </c>
      <c r="B88" s="182" t="str">
        <f t="shared" ref="B88:B111" si="10">B52</f>
        <v>January</v>
      </c>
      <c r="C88" s="158">
        <f>'1-BaseTRR'!$G$2+1</f>
        <v>2022</v>
      </c>
      <c r="D88" s="471">
        <v>40545163.274269104</v>
      </c>
      <c r="E88" s="200">
        <f>D88</f>
        <v>40545163.274269104</v>
      </c>
      <c r="F88" s="200">
        <f>E88*'12-DepRates'!$N$21/12</f>
        <v>96779.70752347802</v>
      </c>
      <c r="G88" s="471">
        <v>2626725.3635267438</v>
      </c>
      <c r="H88" s="200">
        <f>F88-G88</f>
        <v>-2529945.6560032656</v>
      </c>
      <c r="I88" s="200">
        <f>E88-H88</f>
        <v>43075108.930272371</v>
      </c>
      <c r="J88" s="183">
        <f t="shared" ref="J88:J112" si="11">A88</f>
        <v>300</v>
      </c>
      <c r="K88" s="195"/>
      <c r="L88" s="196"/>
      <c r="M88" s="28"/>
    </row>
    <row r="89" spans="1:13">
      <c r="A89" s="183">
        <f t="shared" si="6"/>
        <v>301</v>
      </c>
      <c r="B89" s="182" t="str">
        <f t="shared" si="10"/>
        <v>February</v>
      </c>
      <c r="C89" s="158">
        <f>'1-BaseTRR'!$G$2+1</f>
        <v>2022</v>
      </c>
      <c r="D89" s="471">
        <v>76622444.994817168</v>
      </c>
      <c r="E89" s="200">
        <f>E88+D89</f>
        <v>117167608.26908627</v>
      </c>
      <c r="F89" s="200">
        <f>E89*'12-DepRates'!$N$21/12</f>
        <v>279674.46530678764</v>
      </c>
      <c r="G89" s="471">
        <v>3561845.1014160635</v>
      </c>
      <c r="H89" s="200">
        <f>H88+F89-G89</f>
        <v>-5812116.2921125414</v>
      </c>
      <c r="I89" s="200">
        <f t="shared" ref="I89:I111" si="12">E89-H89</f>
        <v>122979724.56119882</v>
      </c>
      <c r="J89" s="183">
        <f t="shared" si="11"/>
        <v>301</v>
      </c>
      <c r="K89" s="195"/>
      <c r="L89" s="196"/>
      <c r="M89" s="28"/>
    </row>
    <row r="90" spans="1:13">
      <c r="A90" s="183">
        <f t="shared" si="6"/>
        <v>302</v>
      </c>
      <c r="B90" s="182" t="str">
        <f t="shared" si="10"/>
        <v>March</v>
      </c>
      <c r="C90" s="158">
        <f>'1-BaseTRR'!$G$2+1</f>
        <v>2022</v>
      </c>
      <c r="D90" s="471">
        <v>67034160.839608982</v>
      </c>
      <c r="E90" s="200">
        <f t="shared" ref="E90:E111" si="13">E89+D90</f>
        <v>184201769.10869527</v>
      </c>
      <c r="F90" s="200">
        <f>E90*'12-DepRates'!$N$21/12</f>
        <v>439682.36652681528</v>
      </c>
      <c r="G90" s="471">
        <v>3724544.1670283885</v>
      </c>
      <c r="H90" s="200">
        <f t="shared" ref="H90:H111" si="14">H89+F90-G90</f>
        <v>-9096978.0926141143</v>
      </c>
      <c r="I90" s="200">
        <f t="shared" si="12"/>
        <v>193298747.20130938</v>
      </c>
      <c r="J90" s="183">
        <f t="shared" si="11"/>
        <v>302</v>
      </c>
      <c r="K90" s="195"/>
      <c r="L90" s="196"/>
      <c r="M90" s="28"/>
    </row>
    <row r="91" spans="1:13">
      <c r="A91" s="183">
        <f t="shared" si="6"/>
        <v>303</v>
      </c>
      <c r="B91" s="182" t="str">
        <f t="shared" si="10"/>
        <v>April</v>
      </c>
      <c r="C91" s="158">
        <f>'1-BaseTRR'!$G$2+1</f>
        <v>2022</v>
      </c>
      <c r="D91" s="471">
        <v>40948270.398668379</v>
      </c>
      <c r="E91" s="200">
        <f t="shared" si="13"/>
        <v>225150039.50736365</v>
      </c>
      <c r="F91" s="200">
        <f>E91*'12-DepRates'!$N$21/12</f>
        <v>537424.27487647056</v>
      </c>
      <c r="G91" s="471">
        <v>3094369.6181013314</v>
      </c>
      <c r="H91" s="200">
        <f t="shared" si="14"/>
        <v>-11653923.435838975</v>
      </c>
      <c r="I91" s="200">
        <f t="shared" si="12"/>
        <v>236803962.94320261</v>
      </c>
      <c r="J91" s="183">
        <f t="shared" si="11"/>
        <v>303</v>
      </c>
      <c r="K91" s="195"/>
      <c r="L91" s="196"/>
      <c r="M91" s="28"/>
    </row>
    <row r="92" spans="1:13">
      <c r="A92" s="183">
        <f t="shared" si="6"/>
        <v>304</v>
      </c>
      <c r="B92" s="182" t="str">
        <f t="shared" si="10"/>
        <v>May</v>
      </c>
      <c r="C92" s="158">
        <f>'1-BaseTRR'!$G$2+1</f>
        <v>2022</v>
      </c>
      <c r="D92" s="471">
        <v>59495673.580225348</v>
      </c>
      <c r="E92" s="200">
        <f t="shared" si="13"/>
        <v>284645713.08758903</v>
      </c>
      <c r="F92" s="200">
        <f>E92*'12-DepRates'!$N$21/12</f>
        <v>679438.10397506168</v>
      </c>
      <c r="G92" s="471">
        <v>3864246.7693566941</v>
      </c>
      <c r="H92" s="200">
        <f t="shared" si="14"/>
        <v>-14838732.101220608</v>
      </c>
      <c r="I92" s="200">
        <f t="shared" si="12"/>
        <v>299484445.18880963</v>
      </c>
      <c r="J92" s="183">
        <f t="shared" si="11"/>
        <v>304</v>
      </c>
      <c r="K92" s="195"/>
      <c r="L92" s="196"/>
      <c r="M92" s="28"/>
    </row>
    <row r="93" spans="1:13">
      <c r="A93" s="183">
        <f t="shared" si="6"/>
        <v>305</v>
      </c>
      <c r="B93" s="182" t="str">
        <f t="shared" si="10"/>
        <v xml:space="preserve">June </v>
      </c>
      <c r="C93" s="158">
        <f>'1-BaseTRR'!$G$2+1</f>
        <v>2022</v>
      </c>
      <c r="D93" s="471">
        <v>47713816.111274667</v>
      </c>
      <c r="E93" s="200">
        <f t="shared" si="13"/>
        <v>332359529.19886369</v>
      </c>
      <c r="F93" s="200">
        <f>E93*'12-DepRates'!$N$21/12</f>
        <v>793329.10342279833</v>
      </c>
      <c r="G93" s="471">
        <v>3604161.1799115841</v>
      </c>
      <c r="H93" s="200">
        <f t="shared" si="14"/>
        <v>-17649564.177709393</v>
      </c>
      <c r="I93" s="200">
        <f t="shared" si="12"/>
        <v>350009093.37657309</v>
      </c>
      <c r="J93" s="183">
        <f t="shared" si="11"/>
        <v>305</v>
      </c>
      <c r="K93" s="195"/>
      <c r="L93" s="196"/>
      <c r="M93" s="28"/>
    </row>
    <row r="94" spans="1:13">
      <c r="A94" s="183">
        <f t="shared" si="6"/>
        <v>306</v>
      </c>
      <c r="B94" s="182" t="str">
        <f t="shared" si="10"/>
        <v>July</v>
      </c>
      <c r="C94" s="158">
        <f>'1-BaseTRR'!$G$2+1</f>
        <v>2022</v>
      </c>
      <c r="D94" s="471">
        <v>27893626.341579974</v>
      </c>
      <c r="E94" s="200">
        <f t="shared" si="13"/>
        <v>360253155.54044366</v>
      </c>
      <c r="F94" s="200">
        <f>E94*'12-DepRates'!$N$21/12</f>
        <v>859910.0906751171</v>
      </c>
      <c r="G94" s="471">
        <v>2941819.9813897908</v>
      </c>
      <c r="H94" s="200">
        <f t="shared" si="14"/>
        <v>-19731474.068424068</v>
      </c>
      <c r="I94" s="200">
        <f t="shared" si="12"/>
        <v>379984629.6088677</v>
      </c>
      <c r="J94" s="183">
        <f t="shared" si="11"/>
        <v>306</v>
      </c>
      <c r="K94" s="195"/>
      <c r="L94" s="196"/>
      <c r="M94" s="28"/>
    </row>
    <row r="95" spans="1:13">
      <c r="A95" s="183">
        <f t="shared" si="6"/>
        <v>307</v>
      </c>
      <c r="B95" s="182" t="str">
        <f t="shared" si="10"/>
        <v>August</v>
      </c>
      <c r="C95" s="158">
        <f>'1-BaseTRR'!$G$2+1</f>
        <v>2022</v>
      </c>
      <c r="D95" s="471">
        <v>42147463.598647133</v>
      </c>
      <c r="E95" s="200">
        <f t="shared" si="13"/>
        <v>402400619.13909078</v>
      </c>
      <c r="F95" s="200">
        <f>E95*'12-DepRates'!$N$21/12</f>
        <v>960514.42595281324</v>
      </c>
      <c r="G95" s="471">
        <v>3991393.725656678</v>
      </c>
      <c r="H95" s="200">
        <f t="shared" si="14"/>
        <v>-22762353.368127931</v>
      </c>
      <c r="I95" s="200">
        <f t="shared" si="12"/>
        <v>425162972.50721872</v>
      </c>
      <c r="J95" s="183">
        <f t="shared" si="11"/>
        <v>307</v>
      </c>
      <c r="K95" s="195"/>
      <c r="L95" s="196"/>
      <c r="M95" s="28"/>
    </row>
    <row r="96" spans="1:13">
      <c r="A96" s="183">
        <f t="shared" si="6"/>
        <v>308</v>
      </c>
      <c r="B96" s="182" t="str">
        <f t="shared" si="10"/>
        <v>September</v>
      </c>
      <c r="C96" s="158">
        <f>'1-BaseTRR'!$G$2+1</f>
        <v>2022</v>
      </c>
      <c r="D96" s="471">
        <v>60065041.671645835</v>
      </c>
      <c r="E96" s="200">
        <f t="shared" si="13"/>
        <v>462465660.8107366</v>
      </c>
      <c r="F96" s="200">
        <f>E96*'12-DepRates'!$N$21/12</f>
        <v>1103887.3142562751</v>
      </c>
      <c r="G96" s="471">
        <v>5214502.7866193568</v>
      </c>
      <c r="H96" s="200">
        <f t="shared" si="14"/>
        <v>-26872968.840491012</v>
      </c>
      <c r="I96" s="200">
        <f t="shared" si="12"/>
        <v>489338629.65122759</v>
      </c>
      <c r="J96" s="183">
        <f t="shared" si="11"/>
        <v>308</v>
      </c>
      <c r="K96" s="195"/>
      <c r="L96" s="196"/>
      <c r="M96" s="28"/>
    </row>
    <row r="97" spans="1:13">
      <c r="A97" s="183">
        <f t="shared" si="6"/>
        <v>309</v>
      </c>
      <c r="B97" s="182" t="str">
        <f t="shared" si="10"/>
        <v xml:space="preserve">October </v>
      </c>
      <c r="C97" s="158">
        <f>'1-BaseTRR'!$G$2+1</f>
        <v>2022</v>
      </c>
      <c r="D97" s="471">
        <v>31056864.821901321</v>
      </c>
      <c r="E97" s="200">
        <f t="shared" si="13"/>
        <v>493522525.63263792</v>
      </c>
      <c r="F97" s="200">
        <f>E97*'12-DepRates'!$N$21/12</f>
        <v>1178018.8271503735</v>
      </c>
      <c r="G97" s="471">
        <v>3865176.8982442226</v>
      </c>
      <c r="H97" s="200">
        <f t="shared" si="14"/>
        <v>-29560126.911584862</v>
      </c>
      <c r="I97" s="200">
        <f t="shared" si="12"/>
        <v>523082652.54422277</v>
      </c>
      <c r="J97" s="183">
        <f t="shared" si="11"/>
        <v>309</v>
      </c>
      <c r="K97" s="195"/>
      <c r="L97" s="196"/>
      <c r="M97" s="28"/>
    </row>
    <row r="98" spans="1:13">
      <c r="A98" s="183">
        <f t="shared" si="6"/>
        <v>310</v>
      </c>
      <c r="B98" s="182" t="str">
        <f t="shared" si="10"/>
        <v>November</v>
      </c>
      <c r="C98" s="158">
        <f>'1-BaseTRR'!$G$2+1</f>
        <v>2022</v>
      </c>
      <c r="D98" s="471">
        <v>73899925.843379289</v>
      </c>
      <c r="E98" s="200">
        <f t="shared" si="13"/>
        <v>567422451.47601724</v>
      </c>
      <c r="F98" s="200">
        <f>E98*'12-DepRates'!$N$21/12</f>
        <v>1354415.0389685116</v>
      </c>
      <c r="G98" s="471">
        <v>3795298.3861408145</v>
      </c>
      <c r="H98" s="200">
        <f t="shared" si="14"/>
        <v>-32001010.258757167</v>
      </c>
      <c r="I98" s="200">
        <f t="shared" si="12"/>
        <v>599423461.73477435</v>
      </c>
      <c r="J98" s="183">
        <f t="shared" si="11"/>
        <v>310</v>
      </c>
      <c r="K98" s="195"/>
      <c r="L98" s="196"/>
      <c r="M98" s="28"/>
    </row>
    <row r="99" spans="1:13">
      <c r="A99" s="183">
        <f t="shared" si="6"/>
        <v>311</v>
      </c>
      <c r="B99" s="182" t="str">
        <f t="shared" si="10"/>
        <v>December</v>
      </c>
      <c r="C99" s="158">
        <f>'1-BaseTRR'!$G$2+1</f>
        <v>2022</v>
      </c>
      <c r="D99" s="471">
        <v>103847874.53306054</v>
      </c>
      <c r="E99" s="200">
        <f t="shared" si="13"/>
        <v>671270326.00907779</v>
      </c>
      <c r="F99" s="200">
        <f>E99*'12-DepRates'!$N$21/12</f>
        <v>1602295.8245571253</v>
      </c>
      <c r="G99" s="471">
        <v>4206373.6814041836</v>
      </c>
      <c r="H99" s="200">
        <f t="shared" si="14"/>
        <v>-34605088.115604222</v>
      </c>
      <c r="I99" s="200">
        <f t="shared" si="12"/>
        <v>705875414.12468195</v>
      </c>
      <c r="J99" s="183">
        <f t="shared" si="11"/>
        <v>311</v>
      </c>
      <c r="K99" s="195"/>
      <c r="L99" s="196"/>
      <c r="M99" s="28"/>
    </row>
    <row r="100" spans="1:13">
      <c r="A100" s="183">
        <f t="shared" si="6"/>
        <v>312</v>
      </c>
      <c r="B100" s="182" t="str">
        <f t="shared" si="10"/>
        <v>January</v>
      </c>
      <c r="C100" s="158">
        <f>'1-BaseTRR'!$G$1</f>
        <v>2023</v>
      </c>
      <c r="D100" s="471">
        <v>29755740.235952228</v>
      </c>
      <c r="E100" s="200">
        <f t="shared" si="13"/>
        <v>701026066.24503005</v>
      </c>
      <c r="F100" s="200">
        <f>E100*'12-DepRates'!$N$21/12</f>
        <v>1673321.6043202963</v>
      </c>
      <c r="G100" s="471">
        <v>2774289.0037800441</v>
      </c>
      <c r="H100" s="200">
        <f t="shared" si="14"/>
        <v>-35706055.515063971</v>
      </c>
      <c r="I100" s="200">
        <f t="shared" si="12"/>
        <v>736732121.76009405</v>
      </c>
      <c r="J100" s="183">
        <f t="shared" si="11"/>
        <v>312</v>
      </c>
      <c r="K100" s="195"/>
      <c r="L100" s="196"/>
      <c r="M100" s="28"/>
    </row>
    <row r="101" spans="1:13">
      <c r="A101" s="183">
        <f t="shared" si="6"/>
        <v>313</v>
      </c>
      <c r="B101" s="182" t="str">
        <f t="shared" si="10"/>
        <v>February</v>
      </c>
      <c r="C101" s="186">
        <f>'1-BaseTRR'!$G$1</f>
        <v>2023</v>
      </c>
      <c r="D101" s="471">
        <v>59034776.705175608</v>
      </c>
      <c r="E101" s="200">
        <f t="shared" si="13"/>
        <v>760060842.95020568</v>
      </c>
      <c r="F101" s="200">
        <f>E101*'12-DepRates'!$N$21/12</f>
        <v>1814235.2907344429</v>
      </c>
      <c r="G101" s="471">
        <v>2431697.4144270541</v>
      </c>
      <c r="H101" s="200">
        <f t="shared" si="14"/>
        <v>-36323517.638756588</v>
      </c>
      <c r="I101" s="200">
        <f t="shared" si="12"/>
        <v>796384360.58896232</v>
      </c>
      <c r="J101" s="183">
        <f t="shared" si="11"/>
        <v>313</v>
      </c>
      <c r="K101" s="195"/>
      <c r="L101" s="196"/>
      <c r="M101" s="28"/>
    </row>
    <row r="102" spans="1:13">
      <c r="A102" s="183">
        <f t="shared" si="6"/>
        <v>314</v>
      </c>
      <c r="B102" s="182" t="str">
        <f t="shared" si="10"/>
        <v>March</v>
      </c>
      <c r="C102" s="186">
        <f>'1-BaseTRR'!$G$1</f>
        <v>2023</v>
      </c>
      <c r="D102" s="471">
        <v>66663799.248909086</v>
      </c>
      <c r="E102" s="200">
        <f t="shared" si="13"/>
        <v>826724642.1991148</v>
      </c>
      <c r="F102" s="200">
        <f>E102*'12-DepRates'!$N$21/12</f>
        <v>1973359.1534272758</v>
      </c>
      <c r="G102" s="471">
        <v>2494148.0066020098</v>
      </c>
      <c r="H102" s="200">
        <f t="shared" si="14"/>
        <v>-36844306.491931327</v>
      </c>
      <c r="I102" s="200">
        <f t="shared" si="12"/>
        <v>863568948.69104612</v>
      </c>
      <c r="J102" s="183">
        <f t="shared" si="11"/>
        <v>314</v>
      </c>
      <c r="K102" s="195"/>
      <c r="L102" s="196"/>
      <c r="M102" s="28"/>
    </row>
    <row r="103" spans="1:13">
      <c r="A103" s="183">
        <f t="shared" si="6"/>
        <v>315</v>
      </c>
      <c r="B103" s="182" t="str">
        <f t="shared" si="10"/>
        <v>April</v>
      </c>
      <c r="C103" s="186">
        <f>'1-BaseTRR'!$G$1</f>
        <v>2023</v>
      </c>
      <c r="D103" s="471">
        <v>40288964.370863013</v>
      </c>
      <c r="E103" s="200">
        <f t="shared" si="13"/>
        <v>867013606.56997776</v>
      </c>
      <c r="F103" s="200">
        <f>E103*'12-DepRates'!$N$21/12</f>
        <v>2069527.3242608716</v>
      </c>
      <c r="G103" s="471">
        <v>2303971.3703123201</v>
      </c>
      <c r="H103" s="200">
        <f t="shared" si="14"/>
        <v>-37078750.537982777</v>
      </c>
      <c r="I103" s="200">
        <f t="shared" si="12"/>
        <v>904092357.10796058</v>
      </c>
      <c r="J103" s="183">
        <f t="shared" si="11"/>
        <v>315</v>
      </c>
      <c r="K103" s="195"/>
      <c r="L103" s="196"/>
      <c r="M103" s="28"/>
    </row>
    <row r="104" spans="1:13">
      <c r="A104" s="183">
        <f t="shared" si="6"/>
        <v>316</v>
      </c>
      <c r="B104" s="182" t="str">
        <f t="shared" si="10"/>
        <v>May</v>
      </c>
      <c r="C104" s="186">
        <f>'1-BaseTRR'!$G$1</f>
        <v>2023</v>
      </c>
      <c r="D104" s="471">
        <v>125082425.59642603</v>
      </c>
      <c r="E104" s="200">
        <f t="shared" si="13"/>
        <v>992096032.16640377</v>
      </c>
      <c r="F104" s="200">
        <f>E104*'12-DepRates'!$N$21/12</f>
        <v>2368094.1467363825</v>
      </c>
      <c r="G104" s="471">
        <v>2384069.5055163968</v>
      </c>
      <c r="H104" s="200">
        <f t="shared" si="14"/>
        <v>-37094725.896762788</v>
      </c>
      <c r="I104" s="200">
        <f t="shared" si="12"/>
        <v>1029190758.0631666</v>
      </c>
      <c r="J104" s="183">
        <f t="shared" si="11"/>
        <v>316</v>
      </c>
      <c r="K104" s="195"/>
      <c r="L104" s="196"/>
      <c r="M104" s="28"/>
    </row>
    <row r="105" spans="1:13">
      <c r="A105" s="183">
        <f t="shared" si="6"/>
        <v>317</v>
      </c>
      <c r="B105" s="182" t="str">
        <f t="shared" si="10"/>
        <v xml:space="preserve">June </v>
      </c>
      <c r="C105" s="186">
        <f>'1-BaseTRR'!$G$1</f>
        <v>2023</v>
      </c>
      <c r="D105" s="471">
        <v>34450256.909287192</v>
      </c>
      <c r="E105" s="200">
        <f t="shared" si="13"/>
        <v>1026546289.075691</v>
      </c>
      <c r="F105" s="200">
        <f>E105*'12-DepRates'!$N$21/12</f>
        <v>2450325.5528657883</v>
      </c>
      <c r="G105" s="471">
        <v>2011420.8442106829</v>
      </c>
      <c r="H105" s="200">
        <f t="shared" si="14"/>
        <v>-36655821.188107684</v>
      </c>
      <c r="I105" s="200">
        <f t="shared" si="12"/>
        <v>1063202110.2637987</v>
      </c>
      <c r="J105" s="183">
        <f t="shared" si="11"/>
        <v>317</v>
      </c>
      <c r="K105" s="195"/>
      <c r="L105" s="196"/>
      <c r="M105" s="28"/>
    </row>
    <row r="106" spans="1:13">
      <c r="A106" s="183">
        <f t="shared" si="6"/>
        <v>318</v>
      </c>
      <c r="B106" s="182" t="str">
        <f t="shared" si="10"/>
        <v>July</v>
      </c>
      <c r="C106" s="186">
        <f>'1-BaseTRR'!$G$1</f>
        <v>2023</v>
      </c>
      <c r="D106" s="471">
        <v>51726807.834623471</v>
      </c>
      <c r="E106" s="200">
        <f t="shared" si="13"/>
        <v>1078273096.9103146</v>
      </c>
      <c r="F106" s="200">
        <f>E106*'12-DepRates'!$N$21/12</f>
        <v>2573795.4054717342</v>
      </c>
      <c r="G106" s="471">
        <v>1766971.8206584188</v>
      </c>
      <c r="H106" s="200">
        <f t="shared" si="14"/>
        <v>-35848997.603294365</v>
      </c>
      <c r="I106" s="200">
        <f t="shared" si="12"/>
        <v>1114122094.5136089</v>
      </c>
      <c r="J106" s="183">
        <f t="shared" si="11"/>
        <v>318</v>
      </c>
      <c r="K106" s="195"/>
      <c r="L106" s="196"/>
      <c r="M106" s="28"/>
    </row>
    <row r="107" spans="1:13">
      <c r="A107" s="183">
        <f t="shared" si="6"/>
        <v>319</v>
      </c>
      <c r="B107" s="182" t="str">
        <f t="shared" si="10"/>
        <v>August</v>
      </c>
      <c r="C107" s="186">
        <f>'1-BaseTRR'!$G$1</f>
        <v>2023</v>
      </c>
      <c r="D107" s="471">
        <v>36423279.791769713</v>
      </c>
      <c r="E107" s="200">
        <f t="shared" si="13"/>
        <v>1114696376.7020843</v>
      </c>
      <c r="F107" s="200">
        <f>E107*'12-DepRates'!$N$21/12</f>
        <v>2660736.3394975285</v>
      </c>
      <c r="G107" s="471">
        <v>1840029.6364347488</v>
      </c>
      <c r="H107" s="200">
        <f t="shared" si="14"/>
        <v>-35028290.900231585</v>
      </c>
      <c r="I107" s="200">
        <f t="shared" si="12"/>
        <v>1149724667.6023159</v>
      </c>
      <c r="J107" s="183">
        <f t="shared" si="11"/>
        <v>319</v>
      </c>
      <c r="K107" s="195"/>
      <c r="L107" s="196"/>
      <c r="M107" s="28"/>
    </row>
    <row r="108" spans="1:13">
      <c r="A108" s="183">
        <f t="shared" si="6"/>
        <v>320</v>
      </c>
      <c r="B108" s="182" t="str">
        <f t="shared" si="10"/>
        <v>September</v>
      </c>
      <c r="C108" s="186">
        <f>'1-BaseTRR'!$G$1</f>
        <v>2023</v>
      </c>
      <c r="D108" s="471">
        <v>34033995.460958555</v>
      </c>
      <c r="E108" s="200">
        <f t="shared" si="13"/>
        <v>1148730372.1630428</v>
      </c>
      <c r="F108" s="200">
        <f>E108*'12-DepRates'!$N$21/12</f>
        <v>2741974.1459477311</v>
      </c>
      <c r="G108" s="471">
        <v>2046094.1172362193</v>
      </c>
      <c r="H108" s="200">
        <f t="shared" si="14"/>
        <v>-34332410.871520072</v>
      </c>
      <c r="I108" s="200">
        <f t="shared" si="12"/>
        <v>1183062783.0345628</v>
      </c>
      <c r="J108" s="183">
        <f t="shared" si="11"/>
        <v>320</v>
      </c>
      <c r="K108" s="195"/>
      <c r="L108" s="196"/>
      <c r="M108" s="28"/>
    </row>
    <row r="109" spans="1:13">
      <c r="A109" s="183">
        <f t="shared" si="6"/>
        <v>321</v>
      </c>
      <c r="B109" s="182" t="str">
        <f t="shared" si="10"/>
        <v>October</v>
      </c>
      <c r="C109" s="186">
        <f>'1-BaseTRR'!$G$1</f>
        <v>2023</v>
      </c>
      <c r="D109" s="471">
        <v>55812319.09907122</v>
      </c>
      <c r="E109" s="200">
        <f t="shared" si="13"/>
        <v>1204542691.262114</v>
      </c>
      <c r="F109" s="200">
        <f>E109*'12-DepRates'!$N$21/12</f>
        <v>2875195.9529996975</v>
      </c>
      <c r="G109" s="471">
        <v>2098158.507345791</v>
      </c>
      <c r="H109" s="200">
        <f t="shared" si="14"/>
        <v>-33555373.425866164</v>
      </c>
      <c r="I109" s="200">
        <f t="shared" si="12"/>
        <v>1238098064.6879802</v>
      </c>
      <c r="J109" s="183">
        <f t="shared" si="11"/>
        <v>321</v>
      </c>
      <c r="K109" s="195"/>
      <c r="L109" s="196"/>
      <c r="M109" s="28"/>
    </row>
    <row r="110" spans="1:13">
      <c r="A110" s="183">
        <f t="shared" si="6"/>
        <v>322</v>
      </c>
      <c r="B110" s="182" t="str">
        <f t="shared" si="10"/>
        <v>November</v>
      </c>
      <c r="C110" s="186">
        <f>'1-BaseTRR'!$G$1</f>
        <v>2023</v>
      </c>
      <c r="D110" s="471">
        <v>64970636.116122574</v>
      </c>
      <c r="E110" s="200">
        <f t="shared" si="13"/>
        <v>1269513327.3782365</v>
      </c>
      <c r="F110" s="200">
        <f>E110*'12-DepRates'!$N$21/12</f>
        <v>3030278.3019940364</v>
      </c>
      <c r="G110" s="471">
        <v>1455533.0234880911</v>
      </c>
      <c r="H110" s="200">
        <f t="shared" si="14"/>
        <v>-31980628.147360217</v>
      </c>
      <c r="I110" s="200">
        <f t="shared" si="12"/>
        <v>1301493955.5255969</v>
      </c>
      <c r="J110" s="183">
        <f t="shared" si="11"/>
        <v>322</v>
      </c>
      <c r="K110" s="195"/>
      <c r="L110" s="196"/>
      <c r="M110" s="28"/>
    </row>
    <row r="111" spans="1:13">
      <c r="A111" s="183">
        <f t="shared" si="6"/>
        <v>323</v>
      </c>
      <c r="B111" s="191" t="str">
        <f t="shared" si="10"/>
        <v>December</v>
      </c>
      <c r="C111" s="188">
        <f>'1-BaseTRR'!$G$1</f>
        <v>2023</v>
      </c>
      <c r="D111" s="475">
        <v>71131190.169176087</v>
      </c>
      <c r="E111" s="470">
        <f t="shared" si="13"/>
        <v>1340644517.5474126</v>
      </c>
      <c r="F111" s="470">
        <f>E111*'12-DepRates'!$N$21/12</f>
        <v>3200065.6508277883</v>
      </c>
      <c r="G111" s="475">
        <v>1275845.5515601705</v>
      </c>
      <c r="H111" s="470">
        <f t="shared" si="14"/>
        <v>-30056408.0480926</v>
      </c>
      <c r="I111" s="470">
        <f t="shared" si="12"/>
        <v>1370700925.5955052</v>
      </c>
      <c r="J111" s="183">
        <f t="shared" si="11"/>
        <v>323</v>
      </c>
      <c r="K111" s="195"/>
      <c r="L111" s="196"/>
      <c r="M111" s="28"/>
    </row>
    <row r="112" spans="1:13">
      <c r="A112" s="183">
        <f t="shared" si="6"/>
        <v>324</v>
      </c>
      <c r="B112" s="178"/>
      <c r="C112" s="183" t="s">
        <v>810</v>
      </c>
      <c r="D112" s="200"/>
      <c r="E112" s="201">
        <f>SUM(E99:E111)/13</f>
        <v>1000087552.8599006</v>
      </c>
      <c r="F112" s="200"/>
      <c r="G112" s="200"/>
      <c r="H112" s="200"/>
      <c r="I112" s="201">
        <f>SUM(I99:I111)/13</f>
        <v>1035096043.1968677</v>
      </c>
      <c r="J112" s="183">
        <f t="shared" si="11"/>
        <v>324</v>
      </c>
    </row>
    <row r="113" spans="1:10">
      <c r="A113" s="183"/>
      <c r="D113" s="197"/>
      <c r="F113" s="185"/>
      <c r="I113" s="185"/>
      <c r="J113" s="183"/>
    </row>
    <row r="114" spans="1:10">
      <c r="A114" s="183"/>
      <c r="J114" s="183"/>
    </row>
    <row r="115" spans="1:10">
      <c r="A115" s="183"/>
      <c r="B115" s="16" t="s">
        <v>306</v>
      </c>
      <c r="J115" s="183"/>
    </row>
    <row r="116" spans="1:10">
      <c r="A116" s="183"/>
      <c r="B116" s="418" t="s">
        <v>813</v>
      </c>
      <c r="C116" s="418"/>
      <c r="D116" s="418"/>
      <c r="E116" s="418"/>
      <c r="F116" s="418"/>
      <c r="G116" s="418"/>
      <c r="H116" s="418"/>
      <c r="J116" s="183"/>
    </row>
    <row r="117" spans="1:10">
      <c r="A117" s="183"/>
      <c r="B117" s="418" t="s">
        <v>814</v>
      </c>
      <c r="C117" s="418"/>
      <c r="D117" s="418"/>
      <c r="E117" s="418"/>
      <c r="F117" s="418"/>
      <c r="G117" s="418"/>
      <c r="H117" s="418"/>
      <c r="J117" s="183"/>
    </row>
    <row r="118" spans="1:10">
      <c r="A118" s="183"/>
      <c r="B118" s="418" t="s">
        <v>684</v>
      </c>
      <c r="C118" s="418"/>
      <c r="D118" s="418"/>
      <c r="E118" s="418"/>
      <c r="F118" s="418"/>
      <c r="G118" s="418"/>
      <c r="H118" s="418"/>
      <c r="J118" s="183"/>
    </row>
    <row r="119" spans="1:10">
      <c r="A119" s="183"/>
      <c r="C119" s="200"/>
      <c r="D119" s="200"/>
      <c r="E119" s="29"/>
      <c r="J119" s="183"/>
    </row>
    <row r="120" spans="1:10">
      <c r="A120" s="183"/>
      <c r="B120" s="200"/>
      <c r="C120" s="200"/>
      <c r="D120" s="200"/>
      <c r="E120" s="29"/>
      <c r="J120" s="183"/>
    </row>
    <row r="121" spans="1:10">
      <c r="A121" s="183"/>
      <c r="B121" s="200"/>
      <c r="C121" s="200"/>
      <c r="D121" s="200"/>
      <c r="E121" s="29"/>
      <c r="H121" s="200"/>
      <c r="J121" s="183"/>
    </row>
    <row r="122" spans="1:10">
      <c r="A122" s="183"/>
      <c r="B122" s="200"/>
      <c r="C122" s="200"/>
      <c r="D122" s="200"/>
      <c r="E122" s="29"/>
      <c r="J122" s="183"/>
    </row>
    <row r="123" spans="1:10">
      <c r="A123" s="183"/>
      <c r="B123" s="200"/>
      <c r="C123" s="200"/>
      <c r="D123" s="200"/>
      <c r="E123" s="29"/>
      <c r="J123" s="183"/>
    </row>
    <row r="124" spans="1:10">
      <c r="A124" s="183"/>
      <c r="B124" s="200"/>
      <c r="C124" s="200"/>
      <c r="D124" s="200"/>
      <c r="E124" s="29"/>
      <c r="J124" s="183"/>
    </row>
    <row r="125" spans="1:10">
      <c r="A125" s="183"/>
      <c r="B125" s="200"/>
      <c r="C125" s="200"/>
      <c r="D125" s="200"/>
      <c r="E125" s="29"/>
      <c r="J125" s="183"/>
    </row>
    <row r="126" spans="1:10">
      <c r="A126" s="183"/>
      <c r="B126" s="200"/>
      <c r="C126" s="200"/>
      <c r="D126" s="200"/>
      <c r="E126" s="29"/>
      <c r="J126" s="183"/>
    </row>
    <row r="127" spans="1:10">
      <c r="A127" s="183"/>
      <c r="B127" s="201"/>
      <c r="C127" s="201"/>
      <c r="D127" s="201"/>
      <c r="E127" s="202"/>
      <c r="J127" s="183"/>
    </row>
    <row r="128" spans="1:10">
      <c r="A128" s="183"/>
      <c r="B128" s="199"/>
      <c r="J128" s="183"/>
    </row>
    <row r="144" spans="11:11">
      <c r="K144" s="177" t="e">
        <f>E30/E144*E151</f>
        <v>#DIV/0!</v>
      </c>
    </row>
    <row r="160" spans="10:10">
      <c r="J160" s="179">
        <f>E160-D160</f>
        <v>0</v>
      </c>
    </row>
  </sheetData>
  <mergeCells count="3">
    <mergeCell ref="B13:C13"/>
    <mergeCell ref="B50:C50"/>
    <mergeCell ref="B86:C86"/>
  </mergeCells>
  <printOptions horizontalCentered="1"/>
  <pageMargins left="1" right="1" top="1" bottom="1" header="0.5" footer="0.5"/>
  <pageSetup scale="52"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rowBreaks count="1" manualBreakCount="1">
    <brk id="76" max="16383" man="1"/>
  </rowBreaks>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3"/>
  <sheetViews>
    <sheetView view="pageBreakPreview" zoomScale="115" zoomScaleSheetLayoutView="115" workbookViewId="0">
      <selection activeCell="E174" sqref="E174"/>
    </sheetView>
  </sheetViews>
  <sheetFormatPr defaultRowHeight="14.5"/>
  <cols>
    <col min="1" max="1" width="30.26953125" bestFit="1" customWidth="1"/>
    <col min="2" max="2" width="100.54296875" bestFit="1" customWidth="1"/>
  </cols>
  <sheetData>
    <row r="1" spans="1:2">
      <c r="A1" s="831" t="s">
        <v>0</v>
      </c>
      <c r="B1" s="831"/>
    </row>
    <row r="2" spans="1:2">
      <c r="A2" s="831" t="s">
        <v>1</v>
      </c>
      <c r="B2" s="831"/>
    </row>
    <row r="3" spans="1:2">
      <c r="A3" s="831" t="s">
        <v>2</v>
      </c>
      <c r="B3" s="831"/>
    </row>
    <row r="4" spans="1:2">
      <c r="A4" s="831" t="s">
        <v>3</v>
      </c>
      <c r="B4" s="831"/>
    </row>
    <row r="6" spans="1:2">
      <c r="A6" s="831" t="s">
        <v>4</v>
      </c>
      <c r="B6" s="831"/>
    </row>
    <row r="8" spans="1:2">
      <c r="A8" s="8" t="s">
        <v>5</v>
      </c>
      <c r="B8" s="8" t="s">
        <v>6</v>
      </c>
    </row>
    <row r="9" spans="1:2">
      <c r="A9" t="s">
        <v>7</v>
      </c>
      <c r="B9" t="s">
        <v>8</v>
      </c>
    </row>
    <row r="10" spans="1:2">
      <c r="A10" t="s">
        <v>9</v>
      </c>
      <c r="B10" t="s">
        <v>10</v>
      </c>
    </row>
    <row r="11" spans="1:2">
      <c r="A11" t="s">
        <v>11</v>
      </c>
      <c r="B11" t="s">
        <v>12</v>
      </c>
    </row>
    <row r="12" spans="1:2">
      <c r="A12" t="s">
        <v>13</v>
      </c>
      <c r="B12" t="s">
        <v>14</v>
      </c>
    </row>
    <row r="13" spans="1:2">
      <c r="A13" t="s">
        <v>15</v>
      </c>
      <c r="B13" t="s">
        <v>16</v>
      </c>
    </row>
    <row r="14" spans="1:2">
      <c r="A14" t="s">
        <v>17</v>
      </c>
      <c r="B14" t="s">
        <v>18</v>
      </c>
    </row>
    <row r="15" spans="1:2">
      <c r="A15" t="s">
        <v>19</v>
      </c>
      <c r="B15" t="s">
        <v>20</v>
      </c>
    </row>
    <row r="16" spans="1:2">
      <c r="A16" t="s">
        <v>21</v>
      </c>
      <c r="B16" t="s">
        <v>22</v>
      </c>
    </row>
    <row r="17" spans="1:2">
      <c r="A17" t="s">
        <v>23</v>
      </c>
      <c r="B17" t="s">
        <v>24</v>
      </c>
    </row>
    <row r="18" spans="1:2">
      <c r="A18" t="s">
        <v>25</v>
      </c>
      <c r="B18" t="s">
        <v>26</v>
      </c>
    </row>
    <row r="19" spans="1:2">
      <c r="A19" t="s">
        <v>27</v>
      </c>
      <c r="B19" t="s">
        <v>28</v>
      </c>
    </row>
    <row r="20" spans="1:2">
      <c r="A20" t="s">
        <v>29</v>
      </c>
      <c r="B20" t="s">
        <v>30</v>
      </c>
    </row>
    <row r="21" spans="1:2">
      <c r="A21" t="s">
        <v>31</v>
      </c>
      <c r="B21" t="s">
        <v>32</v>
      </c>
    </row>
    <row r="22" spans="1:2">
      <c r="A22" t="s">
        <v>33</v>
      </c>
      <c r="B22" t="s">
        <v>34</v>
      </c>
    </row>
    <row r="23" spans="1:2">
      <c r="A23" t="s">
        <v>35</v>
      </c>
      <c r="B23" t="s">
        <v>36</v>
      </c>
    </row>
    <row r="24" spans="1:2">
      <c r="A24" t="s">
        <v>37</v>
      </c>
      <c r="B24" t="s">
        <v>38</v>
      </c>
    </row>
    <row r="25" spans="1:2">
      <c r="A25" t="s">
        <v>39</v>
      </c>
      <c r="B25" t="s">
        <v>40</v>
      </c>
    </row>
    <row r="26" spans="1:2">
      <c r="A26" t="s">
        <v>41</v>
      </c>
      <c r="B26" t="s">
        <v>42</v>
      </c>
    </row>
    <row r="27" spans="1:2">
      <c r="A27" t="s">
        <v>43</v>
      </c>
      <c r="B27" t="s">
        <v>44</v>
      </c>
    </row>
    <row r="28" spans="1:2">
      <c r="A28" t="s">
        <v>45</v>
      </c>
      <c r="B28" t="s">
        <v>46</v>
      </c>
    </row>
    <row r="29" spans="1:2">
      <c r="A29" t="s">
        <v>47</v>
      </c>
      <c r="B29" t="s">
        <v>48</v>
      </c>
    </row>
    <row r="30" spans="1:2">
      <c r="A30" t="s">
        <v>49</v>
      </c>
      <c r="B30" t="s">
        <v>48</v>
      </c>
    </row>
    <row r="31" spans="1:2">
      <c r="A31" t="s">
        <v>50</v>
      </c>
      <c r="B31" t="s">
        <v>51</v>
      </c>
    </row>
    <row r="32" spans="1:2">
      <c r="A32" t="s">
        <v>52</v>
      </c>
      <c r="B32" t="s">
        <v>53</v>
      </c>
    </row>
    <row r="33" spans="1:2">
      <c r="A33" t="s">
        <v>54</v>
      </c>
      <c r="B33" t="s">
        <v>55</v>
      </c>
    </row>
    <row r="34" spans="1:2">
      <c r="A34" t="s">
        <v>56</v>
      </c>
      <c r="B34" t="s">
        <v>57</v>
      </c>
    </row>
    <row r="35" spans="1:2">
      <c r="A35" t="s">
        <v>58</v>
      </c>
      <c r="B35" t="s">
        <v>59</v>
      </c>
    </row>
    <row r="36" spans="1:2">
      <c r="A36" t="s">
        <v>60</v>
      </c>
      <c r="B36" t="s">
        <v>61</v>
      </c>
    </row>
    <row r="37" spans="1:2">
      <c r="A37" t="s">
        <v>62</v>
      </c>
      <c r="B37" t="s">
        <v>63</v>
      </c>
    </row>
    <row r="38" spans="1:2">
      <c r="A38" t="s">
        <v>64</v>
      </c>
      <c r="B38" t="s">
        <v>65</v>
      </c>
    </row>
    <row r="39" spans="1:2">
      <c r="A39" t="s">
        <v>66</v>
      </c>
      <c r="B39" t="s">
        <v>67</v>
      </c>
    </row>
    <row r="40" spans="1:2">
      <c r="A40" t="s">
        <v>68</v>
      </c>
      <c r="B40" t="s">
        <v>69</v>
      </c>
    </row>
    <row r="41" spans="1:2">
      <c r="A41" t="s">
        <v>70</v>
      </c>
      <c r="B41" t="s">
        <v>71</v>
      </c>
    </row>
    <row r="42" spans="1:2">
      <c r="A42" t="s">
        <v>72</v>
      </c>
      <c r="B42" t="s">
        <v>73</v>
      </c>
    </row>
    <row r="43" spans="1:2">
      <c r="A43" t="s">
        <v>74</v>
      </c>
      <c r="B43" t="s">
        <v>75</v>
      </c>
    </row>
  </sheetData>
  <mergeCells count="5">
    <mergeCell ref="A6:B6"/>
    <mergeCell ref="A1:B1"/>
    <mergeCell ref="A2:B2"/>
    <mergeCell ref="A3:B3"/>
    <mergeCell ref="A4:B4"/>
  </mergeCells>
  <pageMargins left="0.7" right="0.7" top="0.75" bottom="0.75" header="0.3" footer="0.3"/>
  <pageSetup scale="64" orientation="portrait" r:id="rId1"/>
  <customProperties>
    <customPr name="_pios_id" r:id="rId2"/>
    <customPr name="EpmWorksheetKeyString_GUID"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258"/>
  <sheetViews>
    <sheetView tabSelected="1" view="pageBreakPreview" topLeftCell="A85" zoomScaleNormal="75" zoomScaleSheetLayoutView="100" zoomScalePageLayoutView="55" workbookViewId="0">
      <selection activeCell="E174" sqref="E174"/>
    </sheetView>
  </sheetViews>
  <sheetFormatPr defaultColWidth="8.81640625" defaultRowHeight="14.5"/>
  <cols>
    <col min="1" max="1" width="6.7265625" bestFit="1" customWidth="1"/>
    <col min="2" max="3" width="10.54296875" customWidth="1"/>
    <col min="4" max="4" width="18.81640625" customWidth="1"/>
    <col min="5" max="5" width="18" customWidth="1"/>
    <col min="6" max="6" width="18.26953125" customWidth="1"/>
    <col min="7" max="7" width="16.7265625" customWidth="1"/>
    <col min="8" max="8" width="19" customWidth="1"/>
    <col min="9" max="9" width="16.7265625" customWidth="1"/>
    <col min="10" max="10" width="13.453125" customWidth="1"/>
    <col min="11" max="11" width="25.1796875" customWidth="1"/>
    <col min="12" max="12" width="18" customWidth="1"/>
    <col min="13" max="15" width="16.7265625" customWidth="1"/>
    <col min="16" max="16" width="21.54296875" bestFit="1" customWidth="1"/>
    <col min="17" max="17" width="18.81640625" customWidth="1"/>
    <col min="18" max="18" width="6.7265625" bestFit="1" customWidth="1"/>
    <col min="19" max="19" width="8.81640625" customWidth="1"/>
  </cols>
  <sheetData>
    <row r="1" spans="1:18">
      <c r="B1" s="12" t="s">
        <v>32</v>
      </c>
      <c r="H1" s="145"/>
      <c r="J1" s="17"/>
      <c r="O1" s="8"/>
      <c r="P1" s="15" t="str">
        <f>CONCATENATE("Prior Year: ",'1-BaseTRR'!$G$2)</f>
        <v>Prior Year: 2021</v>
      </c>
    </row>
    <row r="2" spans="1:18">
      <c r="B2" s="119" t="s">
        <v>131</v>
      </c>
      <c r="C2" s="50"/>
      <c r="D2" s="119"/>
      <c r="J2" s="17"/>
      <c r="O2" s="15"/>
      <c r="P2" s="15"/>
      <c r="Q2" s="15"/>
    </row>
    <row r="3" spans="1:18">
      <c r="B3" s="144"/>
    </row>
    <row r="4" spans="1:18">
      <c r="B4" s="144"/>
    </row>
    <row r="5" spans="1:18">
      <c r="B5" s="58" t="s">
        <v>815</v>
      </c>
      <c r="C5" s="58"/>
      <c r="D5" s="55"/>
      <c r="E5" s="55"/>
      <c r="F5" s="55"/>
      <c r="G5" s="55"/>
      <c r="H5" s="55"/>
      <c r="I5" s="55"/>
      <c r="J5" s="55"/>
      <c r="K5" s="55"/>
      <c r="L5" s="55"/>
      <c r="M5" s="55"/>
      <c r="N5" s="55"/>
      <c r="O5" s="55"/>
      <c r="P5" s="55"/>
      <c r="Q5" s="55"/>
    </row>
    <row r="6" spans="1:18">
      <c r="B6" s="153" t="s">
        <v>816</v>
      </c>
    </row>
    <row r="7" spans="1:18">
      <c r="B7" s="153" t="s">
        <v>817</v>
      </c>
    </row>
    <row r="9" spans="1:18">
      <c r="A9" s="12"/>
      <c r="D9" s="124" t="s">
        <v>371</v>
      </c>
      <c r="E9" s="124" t="s">
        <v>372</v>
      </c>
      <c r="F9" s="124" t="s">
        <v>373</v>
      </c>
      <c r="G9" s="124" t="s">
        <v>374</v>
      </c>
      <c r="H9" s="124" t="s">
        <v>375</v>
      </c>
      <c r="I9" s="124" t="s">
        <v>376</v>
      </c>
      <c r="J9" s="124" t="s">
        <v>377</v>
      </c>
      <c r="K9" s="124" t="s">
        <v>378</v>
      </c>
      <c r="L9" s="124" t="s">
        <v>409</v>
      </c>
      <c r="M9" s="124" t="s">
        <v>525</v>
      </c>
      <c r="N9" s="124" t="s">
        <v>526</v>
      </c>
      <c r="O9" s="124" t="s">
        <v>527</v>
      </c>
      <c r="P9" s="124" t="s">
        <v>528</v>
      </c>
      <c r="Q9" s="124"/>
      <c r="R9" s="133"/>
    </row>
    <row r="10" spans="1:18" ht="29">
      <c r="A10" s="12"/>
      <c r="D10" s="155" t="s">
        <v>687</v>
      </c>
      <c r="E10" s="155" t="s">
        <v>687</v>
      </c>
      <c r="F10" s="155" t="s">
        <v>687</v>
      </c>
      <c r="G10" s="155" t="s">
        <v>687</v>
      </c>
      <c r="H10" s="155" t="s">
        <v>687</v>
      </c>
      <c r="I10" s="155" t="s">
        <v>687</v>
      </c>
      <c r="J10" s="155" t="s">
        <v>687</v>
      </c>
      <c r="K10" s="155" t="s">
        <v>687</v>
      </c>
      <c r="L10" s="155" t="s">
        <v>687</v>
      </c>
      <c r="M10" s="155" t="s">
        <v>687</v>
      </c>
      <c r="N10" s="155" t="s">
        <v>687</v>
      </c>
      <c r="O10" s="155" t="s">
        <v>687</v>
      </c>
      <c r="P10" s="156" t="s">
        <v>688</v>
      </c>
      <c r="Q10" s="156"/>
      <c r="R10" s="133"/>
    </row>
    <row r="11" spans="1:18">
      <c r="B11" s="8"/>
      <c r="C11" s="8"/>
      <c r="N11" s="30"/>
      <c r="P11" s="30"/>
      <c r="Q11" s="30"/>
      <c r="R11" s="133"/>
    </row>
    <row r="12" spans="1:18">
      <c r="A12" s="203"/>
      <c r="B12" s="133"/>
      <c r="C12" s="132" t="s">
        <v>689</v>
      </c>
      <c r="D12" s="125">
        <v>350.01</v>
      </c>
      <c r="E12" s="125">
        <v>350.02</v>
      </c>
      <c r="F12" s="125">
        <v>352.01</v>
      </c>
      <c r="G12" s="125">
        <v>352.02</v>
      </c>
      <c r="H12" s="125">
        <v>353.01</v>
      </c>
      <c r="I12" s="125">
        <v>353.02</v>
      </c>
      <c r="J12" s="125">
        <v>354</v>
      </c>
      <c r="K12" s="125">
        <v>355</v>
      </c>
      <c r="L12" s="125">
        <v>356</v>
      </c>
      <c r="M12" s="125">
        <v>357</v>
      </c>
      <c r="N12" s="125">
        <v>358</v>
      </c>
      <c r="O12" s="125">
        <v>359</v>
      </c>
      <c r="R12" s="133"/>
    </row>
    <row r="13" spans="1:18">
      <c r="A13" s="121" t="s">
        <v>100</v>
      </c>
      <c r="B13" s="121" t="s">
        <v>384</v>
      </c>
      <c r="C13" s="121" t="s">
        <v>420</v>
      </c>
      <c r="D13" s="124" t="s">
        <v>690</v>
      </c>
      <c r="E13" s="124" t="s">
        <v>691</v>
      </c>
      <c r="F13" s="124" t="s">
        <v>692</v>
      </c>
      <c r="G13" s="124" t="s">
        <v>693</v>
      </c>
      <c r="H13" s="124" t="s">
        <v>694</v>
      </c>
      <c r="I13" s="124" t="s">
        <v>695</v>
      </c>
      <c r="J13" s="124" t="s">
        <v>696</v>
      </c>
      <c r="K13" s="124" t="s">
        <v>697</v>
      </c>
      <c r="L13" s="124" t="s">
        <v>698</v>
      </c>
      <c r="M13" s="124" t="s">
        <v>699</v>
      </c>
      <c r="N13" s="124" t="s">
        <v>700</v>
      </c>
      <c r="O13" s="124" t="s">
        <v>701</v>
      </c>
      <c r="P13" s="121" t="s">
        <v>465</v>
      </c>
      <c r="Q13" s="121" t="s">
        <v>135</v>
      </c>
      <c r="R13" s="121" t="str">
        <f>A13</f>
        <v>Line</v>
      </c>
    </row>
    <row r="14" spans="1:18">
      <c r="A14" s="133">
        <v>100</v>
      </c>
      <c r="B14" s="153" t="s">
        <v>428</v>
      </c>
      <c r="C14" s="158">
        <f>'1-BaseTRR'!$G$2-1</f>
        <v>2020</v>
      </c>
      <c r="D14" s="477">
        <f t="shared" ref="D14:O26" si="0">+D39+D64</f>
        <v>-7829</v>
      </c>
      <c r="E14" s="477">
        <f t="shared" si="0"/>
        <v>72494733</v>
      </c>
      <c r="F14" s="477">
        <f t="shared" si="0"/>
        <v>109706920</v>
      </c>
      <c r="G14" s="477">
        <f t="shared" si="0"/>
        <v>18023615</v>
      </c>
      <c r="H14" s="477">
        <f t="shared" si="0"/>
        <v>1591956949</v>
      </c>
      <c r="I14" s="477">
        <f t="shared" si="0"/>
        <v>15966368</v>
      </c>
      <c r="J14" s="477">
        <f t="shared" si="0"/>
        <v>347587090</v>
      </c>
      <c r="K14" s="477">
        <f t="shared" si="0"/>
        <v>379206173</v>
      </c>
      <c r="L14" s="477">
        <f t="shared" si="0"/>
        <v>527564753</v>
      </c>
      <c r="M14" s="477">
        <f t="shared" si="0"/>
        <v>102565877</v>
      </c>
      <c r="N14" s="477">
        <f t="shared" si="0"/>
        <v>75168249</v>
      </c>
      <c r="O14" s="477">
        <f t="shared" si="0"/>
        <v>15292937</v>
      </c>
      <c r="P14" s="33">
        <f>SUM(D14:O14)</f>
        <v>3255525835</v>
      </c>
      <c r="Q14" s="160" t="str">
        <f>"Line "&amp;A39&amp;" + Line "&amp;A64&amp;""</f>
        <v>Line 200 + Line 300</v>
      </c>
      <c r="R14" s="133">
        <f>A14</f>
        <v>100</v>
      </c>
    </row>
    <row r="15" spans="1:18">
      <c r="A15" s="133">
        <f>A14+1</f>
        <v>101</v>
      </c>
      <c r="B15" s="153" t="s">
        <v>430</v>
      </c>
      <c r="C15" s="158">
        <f>'1-BaseTRR'!$G$2</f>
        <v>2021</v>
      </c>
      <c r="D15" s="477">
        <f t="shared" si="0"/>
        <v>-12152</v>
      </c>
      <c r="E15" s="477">
        <f t="shared" si="0"/>
        <v>72820073</v>
      </c>
      <c r="F15" s="477">
        <f t="shared" si="0"/>
        <v>110112916</v>
      </c>
      <c r="G15" s="477">
        <f t="shared" si="0"/>
        <v>18184197</v>
      </c>
      <c r="H15" s="477">
        <f t="shared" si="0"/>
        <v>1599675929</v>
      </c>
      <c r="I15" s="477">
        <f t="shared" si="0"/>
        <v>16022217</v>
      </c>
      <c r="J15" s="477">
        <f t="shared" si="0"/>
        <v>349551688</v>
      </c>
      <c r="K15" s="477">
        <f t="shared" si="0"/>
        <v>382993115</v>
      </c>
      <c r="L15" s="477">
        <f t="shared" si="0"/>
        <v>530880223</v>
      </c>
      <c r="M15" s="477">
        <f t="shared" si="0"/>
        <v>103204800</v>
      </c>
      <c r="N15" s="477">
        <f t="shared" si="0"/>
        <v>75635994</v>
      </c>
      <c r="O15" s="477">
        <f t="shared" si="0"/>
        <v>15771556</v>
      </c>
      <c r="P15" s="33">
        <f t="shared" ref="P15:P26" si="1">SUM(D15:O15)</f>
        <v>3274840556</v>
      </c>
      <c r="Q15" s="160" t="str">
        <f t="shared" ref="Q15:Q26" si="2">"Line "&amp;A40&amp;" + Line "&amp;A65&amp;""</f>
        <v>Line 201 + Line 301</v>
      </c>
      <c r="R15" s="133">
        <f t="shared" ref="R15:R27" si="3">A15</f>
        <v>101</v>
      </c>
    </row>
    <row r="16" spans="1:18">
      <c r="A16" s="133">
        <f t="shared" ref="A16:A27" si="4">A15+1</f>
        <v>102</v>
      </c>
      <c r="B16" s="153" t="s">
        <v>431</v>
      </c>
      <c r="C16" s="158">
        <f>'1-BaseTRR'!$G$2</f>
        <v>2021</v>
      </c>
      <c r="D16" s="477">
        <f t="shared" si="0"/>
        <v>-12153</v>
      </c>
      <c r="E16" s="477">
        <f t="shared" si="0"/>
        <v>73144644</v>
      </c>
      <c r="F16" s="477">
        <f t="shared" si="0"/>
        <v>110670902</v>
      </c>
      <c r="G16" s="477">
        <f t="shared" si="0"/>
        <v>18339071</v>
      </c>
      <c r="H16" s="477">
        <f t="shared" si="0"/>
        <v>1614034027</v>
      </c>
      <c r="I16" s="477">
        <f t="shared" si="0"/>
        <v>16076831</v>
      </c>
      <c r="J16" s="477">
        <f t="shared" si="0"/>
        <v>350473196</v>
      </c>
      <c r="K16" s="477">
        <f t="shared" si="0"/>
        <v>386085503</v>
      </c>
      <c r="L16" s="477">
        <f t="shared" si="0"/>
        <v>532621155</v>
      </c>
      <c r="M16" s="477">
        <f t="shared" si="0"/>
        <v>103856751</v>
      </c>
      <c r="N16" s="477">
        <f t="shared" si="0"/>
        <v>76118155</v>
      </c>
      <c r="O16" s="477">
        <f t="shared" si="0"/>
        <v>15991718</v>
      </c>
      <c r="P16" s="33">
        <f t="shared" si="1"/>
        <v>3297399800</v>
      </c>
      <c r="Q16" s="160" t="str">
        <f t="shared" si="2"/>
        <v>Line 202 + Line 302</v>
      </c>
      <c r="R16" s="133">
        <f t="shared" si="3"/>
        <v>102</v>
      </c>
    </row>
    <row r="17" spans="1:18">
      <c r="A17" s="133">
        <f t="shared" si="4"/>
        <v>103</v>
      </c>
      <c r="B17" s="153" t="s">
        <v>432</v>
      </c>
      <c r="C17" s="158">
        <f>'1-BaseTRR'!$G$2</f>
        <v>2021</v>
      </c>
      <c r="D17" s="477">
        <f t="shared" si="0"/>
        <v>-12154</v>
      </c>
      <c r="E17" s="477">
        <f t="shared" si="0"/>
        <v>73445619</v>
      </c>
      <c r="F17" s="477">
        <f t="shared" si="0"/>
        <v>111226667</v>
      </c>
      <c r="G17" s="477">
        <f t="shared" si="0"/>
        <v>18495083</v>
      </c>
      <c r="H17" s="477">
        <f t="shared" si="0"/>
        <v>1628577426</v>
      </c>
      <c r="I17" s="477">
        <f t="shared" si="0"/>
        <v>16131435</v>
      </c>
      <c r="J17" s="477">
        <f t="shared" si="0"/>
        <v>348548265</v>
      </c>
      <c r="K17" s="477">
        <f t="shared" si="0"/>
        <v>388085538</v>
      </c>
      <c r="L17" s="477">
        <f t="shared" si="0"/>
        <v>530705263</v>
      </c>
      <c r="M17" s="477">
        <f t="shared" si="0"/>
        <v>104519683</v>
      </c>
      <c r="N17" s="477">
        <f t="shared" si="0"/>
        <v>76601875</v>
      </c>
      <c r="O17" s="477">
        <f t="shared" si="0"/>
        <v>16234628</v>
      </c>
      <c r="P17" s="33">
        <f t="shared" si="1"/>
        <v>3312559328</v>
      </c>
      <c r="Q17" s="160" t="str">
        <f t="shared" si="2"/>
        <v>Line 203 + Line 303</v>
      </c>
      <c r="R17" s="133">
        <f t="shared" si="3"/>
        <v>103</v>
      </c>
    </row>
    <row r="18" spans="1:18">
      <c r="A18" s="133">
        <f t="shared" si="4"/>
        <v>104</v>
      </c>
      <c r="B18" s="153" t="s">
        <v>433</v>
      </c>
      <c r="C18" s="158">
        <f>'1-BaseTRR'!$G$2</f>
        <v>2021</v>
      </c>
      <c r="D18" s="477">
        <f t="shared" si="0"/>
        <v>-12156</v>
      </c>
      <c r="E18" s="477">
        <f t="shared" si="0"/>
        <v>73760533</v>
      </c>
      <c r="F18" s="477">
        <f t="shared" si="0"/>
        <v>111782415</v>
      </c>
      <c r="G18" s="477">
        <f t="shared" si="0"/>
        <v>18651471</v>
      </c>
      <c r="H18" s="477">
        <f t="shared" si="0"/>
        <v>1636682013</v>
      </c>
      <c r="I18" s="477">
        <f t="shared" si="0"/>
        <v>16186442</v>
      </c>
      <c r="J18" s="477">
        <f t="shared" si="0"/>
        <v>348610459</v>
      </c>
      <c r="K18" s="477">
        <f t="shared" si="0"/>
        <v>390118953</v>
      </c>
      <c r="L18" s="477">
        <f t="shared" si="0"/>
        <v>530433349</v>
      </c>
      <c r="M18" s="477">
        <f t="shared" si="0"/>
        <v>105168630</v>
      </c>
      <c r="N18" s="477">
        <f t="shared" si="0"/>
        <v>77084800</v>
      </c>
      <c r="O18" s="477">
        <f t="shared" si="0"/>
        <v>16477270</v>
      </c>
      <c r="P18" s="33">
        <f t="shared" si="1"/>
        <v>3324944179</v>
      </c>
      <c r="Q18" s="160" t="str">
        <f t="shared" si="2"/>
        <v>Line 204 + Line 304</v>
      </c>
      <c r="R18" s="133">
        <f t="shared" si="3"/>
        <v>104</v>
      </c>
    </row>
    <row r="19" spans="1:18">
      <c r="A19" s="133">
        <f t="shared" si="4"/>
        <v>105</v>
      </c>
      <c r="B19" s="153" t="s">
        <v>395</v>
      </c>
      <c r="C19" s="158">
        <f>'1-BaseTRR'!$G$2</f>
        <v>2021</v>
      </c>
      <c r="D19" s="477">
        <f t="shared" si="0"/>
        <v>-12162</v>
      </c>
      <c r="E19" s="477">
        <f t="shared" si="0"/>
        <v>74080230</v>
      </c>
      <c r="F19" s="477">
        <f t="shared" si="0"/>
        <v>112302952</v>
      </c>
      <c r="G19" s="477">
        <f t="shared" si="0"/>
        <v>18806729</v>
      </c>
      <c r="H19" s="477">
        <f t="shared" si="0"/>
        <v>1651219334</v>
      </c>
      <c r="I19" s="477">
        <f t="shared" si="0"/>
        <v>16241056</v>
      </c>
      <c r="J19" s="477">
        <f t="shared" si="0"/>
        <v>346501267</v>
      </c>
      <c r="K19" s="477">
        <f t="shared" si="0"/>
        <v>392943935</v>
      </c>
      <c r="L19" s="477">
        <f t="shared" si="0"/>
        <v>532531053</v>
      </c>
      <c r="M19" s="477">
        <f t="shared" si="0"/>
        <v>105805940</v>
      </c>
      <c r="N19" s="477">
        <f t="shared" si="0"/>
        <v>77522652</v>
      </c>
      <c r="O19" s="477">
        <f t="shared" si="0"/>
        <v>16734493</v>
      </c>
      <c r="P19" s="33">
        <f t="shared" si="1"/>
        <v>3344677479</v>
      </c>
      <c r="Q19" s="160" t="str">
        <f t="shared" si="2"/>
        <v>Line 205 + Line 305</v>
      </c>
      <c r="R19" s="133">
        <f t="shared" si="3"/>
        <v>105</v>
      </c>
    </row>
    <row r="20" spans="1:18">
      <c r="A20" s="133">
        <f t="shared" si="4"/>
        <v>106</v>
      </c>
      <c r="B20" s="153" t="s">
        <v>531</v>
      </c>
      <c r="C20" s="158">
        <f>'1-BaseTRR'!$G$2</f>
        <v>2021</v>
      </c>
      <c r="D20" s="477">
        <f t="shared" si="0"/>
        <v>-12165</v>
      </c>
      <c r="E20" s="477">
        <f t="shared" si="0"/>
        <v>74409600</v>
      </c>
      <c r="F20" s="477">
        <f t="shared" si="0"/>
        <v>112858141</v>
      </c>
      <c r="G20" s="477">
        <f t="shared" si="0"/>
        <v>18946670</v>
      </c>
      <c r="H20" s="477">
        <f t="shared" si="0"/>
        <v>1658887887</v>
      </c>
      <c r="I20" s="477">
        <f t="shared" si="0"/>
        <v>16295084</v>
      </c>
      <c r="J20" s="477">
        <f t="shared" si="0"/>
        <v>357676761</v>
      </c>
      <c r="K20" s="477">
        <f t="shared" si="0"/>
        <v>396545092</v>
      </c>
      <c r="L20" s="477">
        <f t="shared" si="0"/>
        <v>535446157</v>
      </c>
      <c r="M20" s="477">
        <f t="shared" si="0"/>
        <v>106467829</v>
      </c>
      <c r="N20" s="477">
        <f t="shared" si="0"/>
        <v>78002592</v>
      </c>
      <c r="O20" s="477">
        <f t="shared" si="0"/>
        <v>8679500</v>
      </c>
      <c r="P20" s="33">
        <f t="shared" si="1"/>
        <v>3364203148</v>
      </c>
      <c r="Q20" s="160" t="str">
        <f t="shared" si="2"/>
        <v>Line 206 + Line 306</v>
      </c>
      <c r="R20" s="133">
        <f t="shared" si="3"/>
        <v>106</v>
      </c>
    </row>
    <row r="21" spans="1:18">
      <c r="A21" s="133">
        <f t="shared" si="4"/>
        <v>107</v>
      </c>
      <c r="B21" s="153" t="s">
        <v>435</v>
      </c>
      <c r="C21" s="158">
        <f>'1-BaseTRR'!$G$2</f>
        <v>2021</v>
      </c>
      <c r="D21" s="477">
        <f t="shared" si="0"/>
        <v>-12175</v>
      </c>
      <c r="E21" s="477">
        <f t="shared" si="0"/>
        <v>74738919</v>
      </c>
      <c r="F21" s="477">
        <f t="shared" si="0"/>
        <v>113421134</v>
      </c>
      <c r="G21" s="477">
        <f t="shared" si="0"/>
        <v>19105752</v>
      </c>
      <c r="H21" s="477">
        <f t="shared" si="0"/>
        <v>1671937390</v>
      </c>
      <c r="I21" s="477">
        <f t="shared" si="0"/>
        <v>16349332</v>
      </c>
      <c r="J21" s="477">
        <f t="shared" si="0"/>
        <v>356563010</v>
      </c>
      <c r="K21" s="477">
        <f t="shared" si="0"/>
        <v>398727828</v>
      </c>
      <c r="L21" s="477">
        <f t="shared" si="0"/>
        <v>534266434</v>
      </c>
      <c r="M21" s="477">
        <f t="shared" si="0"/>
        <v>107126092</v>
      </c>
      <c r="N21" s="477">
        <f t="shared" si="0"/>
        <v>78483324</v>
      </c>
      <c r="O21" s="477">
        <f t="shared" si="0"/>
        <v>9241648</v>
      </c>
      <c r="P21" s="33">
        <f t="shared" si="1"/>
        <v>3379948688</v>
      </c>
      <c r="Q21" s="160" t="str">
        <f t="shared" si="2"/>
        <v>Line 207 + Line 307</v>
      </c>
      <c r="R21" s="133">
        <f t="shared" si="3"/>
        <v>107</v>
      </c>
    </row>
    <row r="22" spans="1:18">
      <c r="A22" s="133">
        <f t="shared" si="4"/>
        <v>108</v>
      </c>
      <c r="B22" s="153" t="s">
        <v>436</v>
      </c>
      <c r="C22" s="158">
        <f>'1-BaseTRR'!$G$2</f>
        <v>2021</v>
      </c>
      <c r="D22" s="477">
        <f t="shared" si="0"/>
        <v>-11704</v>
      </c>
      <c r="E22" s="477">
        <f t="shared" si="0"/>
        <v>75070850</v>
      </c>
      <c r="F22" s="477">
        <f t="shared" si="0"/>
        <v>113988905</v>
      </c>
      <c r="G22" s="477">
        <f t="shared" si="0"/>
        <v>19263850</v>
      </c>
      <c r="H22" s="477">
        <f t="shared" si="0"/>
        <v>1686410512</v>
      </c>
      <c r="I22" s="477">
        <f t="shared" si="0"/>
        <v>16441597</v>
      </c>
      <c r="J22" s="477">
        <f t="shared" si="0"/>
        <v>357487148</v>
      </c>
      <c r="K22" s="477">
        <f t="shared" si="0"/>
        <v>402552954</v>
      </c>
      <c r="L22" s="477">
        <f t="shared" si="0"/>
        <v>534743579</v>
      </c>
      <c r="M22" s="477">
        <f t="shared" si="0"/>
        <v>107932198</v>
      </c>
      <c r="N22" s="477">
        <f t="shared" si="0"/>
        <v>79132075</v>
      </c>
      <c r="O22" s="477">
        <f t="shared" si="0"/>
        <v>9476281</v>
      </c>
      <c r="P22" s="33">
        <f t="shared" si="1"/>
        <v>3402488245</v>
      </c>
      <c r="Q22" s="160" t="str">
        <f t="shared" si="2"/>
        <v>Line 208 + Line 308</v>
      </c>
      <c r="R22" s="133">
        <f t="shared" si="3"/>
        <v>108</v>
      </c>
    </row>
    <row r="23" spans="1:18">
      <c r="A23" s="133">
        <f t="shared" si="4"/>
        <v>109</v>
      </c>
      <c r="B23" s="153" t="s">
        <v>437</v>
      </c>
      <c r="C23" s="158">
        <f>'1-BaseTRR'!$G$2</f>
        <v>2021</v>
      </c>
      <c r="D23" s="477">
        <f t="shared" si="0"/>
        <v>-11700</v>
      </c>
      <c r="E23" s="477">
        <f t="shared" si="0"/>
        <v>75395537</v>
      </c>
      <c r="F23" s="477">
        <f t="shared" si="0"/>
        <v>114555582</v>
      </c>
      <c r="G23" s="477">
        <f t="shared" si="0"/>
        <v>19018344</v>
      </c>
      <c r="H23" s="477">
        <f t="shared" si="0"/>
        <v>1704752392</v>
      </c>
      <c r="I23" s="477">
        <f t="shared" si="0"/>
        <v>16473098</v>
      </c>
      <c r="J23" s="477">
        <f t="shared" si="0"/>
        <v>357533355</v>
      </c>
      <c r="K23" s="477">
        <f t="shared" si="0"/>
        <v>401373106</v>
      </c>
      <c r="L23" s="477">
        <f t="shared" si="0"/>
        <v>529878390</v>
      </c>
      <c r="M23" s="477">
        <f t="shared" si="0"/>
        <v>108446889</v>
      </c>
      <c r="N23" s="477">
        <f t="shared" si="0"/>
        <v>79445374</v>
      </c>
      <c r="O23" s="477">
        <f t="shared" si="0"/>
        <v>9718216</v>
      </c>
      <c r="P23" s="33">
        <f t="shared" si="1"/>
        <v>3416578583</v>
      </c>
      <c r="Q23" s="160" t="str">
        <f t="shared" si="2"/>
        <v>Line 209 + Line 309</v>
      </c>
      <c r="R23" s="133">
        <f t="shared" si="3"/>
        <v>109</v>
      </c>
    </row>
    <row r="24" spans="1:18">
      <c r="A24" s="133">
        <f t="shared" si="4"/>
        <v>110</v>
      </c>
      <c r="B24" s="153" t="s">
        <v>438</v>
      </c>
      <c r="C24" s="158">
        <f>'1-BaseTRR'!$G$2</f>
        <v>2021</v>
      </c>
      <c r="D24" s="477">
        <f t="shared" si="0"/>
        <v>-11705</v>
      </c>
      <c r="E24" s="477">
        <f t="shared" si="0"/>
        <v>75726214</v>
      </c>
      <c r="F24" s="477">
        <f t="shared" si="0"/>
        <v>115122417</v>
      </c>
      <c r="G24" s="477">
        <f t="shared" si="0"/>
        <v>19171778</v>
      </c>
      <c r="H24" s="477">
        <f t="shared" si="0"/>
        <v>1720804959</v>
      </c>
      <c r="I24" s="477">
        <f t="shared" si="0"/>
        <v>16526174</v>
      </c>
      <c r="J24" s="477">
        <f t="shared" si="0"/>
        <v>358529550</v>
      </c>
      <c r="K24" s="477">
        <f t="shared" si="0"/>
        <v>409088940</v>
      </c>
      <c r="L24" s="477">
        <f t="shared" si="0"/>
        <v>533029308</v>
      </c>
      <c r="M24" s="477">
        <f t="shared" si="0"/>
        <v>109091095</v>
      </c>
      <c r="N24" s="477">
        <f t="shared" si="0"/>
        <v>79928469</v>
      </c>
      <c r="O24" s="477">
        <f t="shared" si="0"/>
        <v>9970808</v>
      </c>
      <c r="P24" s="33">
        <f t="shared" si="1"/>
        <v>3446978007</v>
      </c>
      <c r="Q24" s="160" t="str">
        <f t="shared" si="2"/>
        <v>Line 210 + Line 310</v>
      </c>
      <c r="R24" s="133">
        <f t="shared" si="3"/>
        <v>110</v>
      </c>
    </row>
    <row r="25" spans="1:18">
      <c r="A25" s="133">
        <f t="shared" si="4"/>
        <v>111</v>
      </c>
      <c r="B25" s="153" t="s">
        <v>439</v>
      </c>
      <c r="C25" s="158">
        <f>'1-BaseTRR'!$G$2</f>
        <v>2021</v>
      </c>
      <c r="D25" s="477">
        <f t="shared" si="0"/>
        <v>-11704</v>
      </c>
      <c r="E25" s="477">
        <f t="shared" si="0"/>
        <v>76057826</v>
      </c>
      <c r="F25" s="477">
        <f t="shared" si="0"/>
        <v>115657596</v>
      </c>
      <c r="G25" s="477">
        <f t="shared" si="0"/>
        <v>19325100</v>
      </c>
      <c r="H25" s="477">
        <f t="shared" si="0"/>
        <v>1725565238</v>
      </c>
      <c r="I25" s="477">
        <f t="shared" si="0"/>
        <v>16607265</v>
      </c>
      <c r="J25" s="477">
        <f t="shared" si="0"/>
        <v>359494243</v>
      </c>
      <c r="K25" s="477">
        <f t="shared" si="0"/>
        <v>410505971</v>
      </c>
      <c r="L25" s="477">
        <f t="shared" si="0"/>
        <v>529516161</v>
      </c>
      <c r="M25" s="477">
        <f t="shared" si="0"/>
        <v>109751969</v>
      </c>
      <c r="N25" s="477">
        <f t="shared" si="0"/>
        <v>80413297</v>
      </c>
      <c r="O25" s="477">
        <f t="shared" si="0"/>
        <v>10226833</v>
      </c>
      <c r="P25" s="33">
        <f t="shared" si="1"/>
        <v>3453109795</v>
      </c>
      <c r="Q25" s="160" t="str">
        <f t="shared" si="2"/>
        <v>Line 211 + Line 311</v>
      </c>
      <c r="R25" s="133">
        <f t="shared" si="3"/>
        <v>111</v>
      </c>
    </row>
    <row r="26" spans="1:18">
      <c r="A26" s="133">
        <f t="shared" si="4"/>
        <v>112</v>
      </c>
      <c r="B26" s="161" t="s">
        <v>428</v>
      </c>
      <c r="C26" s="162">
        <f>'1-BaseTRR'!$G$2</f>
        <v>2021</v>
      </c>
      <c r="D26" s="478">
        <f t="shared" si="0"/>
        <v>205288</v>
      </c>
      <c r="E26" s="478">
        <f t="shared" si="0"/>
        <v>76296408</v>
      </c>
      <c r="F26" s="478">
        <f t="shared" si="0"/>
        <v>116187686</v>
      </c>
      <c r="G26" s="478">
        <f t="shared" si="0"/>
        <v>19478026</v>
      </c>
      <c r="H26" s="478">
        <f t="shared" si="0"/>
        <v>1740070041</v>
      </c>
      <c r="I26" s="478">
        <f t="shared" si="0"/>
        <v>16600888</v>
      </c>
      <c r="J26" s="478">
        <f t="shared" si="0"/>
        <v>365099162</v>
      </c>
      <c r="K26" s="478">
        <f t="shared" si="0"/>
        <v>408078566</v>
      </c>
      <c r="L26" s="478">
        <f t="shared" si="0"/>
        <v>520519966</v>
      </c>
      <c r="M26" s="478">
        <f t="shared" si="0"/>
        <v>110427376</v>
      </c>
      <c r="N26" s="478">
        <f t="shared" si="0"/>
        <v>80894385</v>
      </c>
      <c r="O26" s="478">
        <f t="shared" si="0"/>
        <v>10635394</v>
      </c>
      <c r="P26" s="478">
        <f t="shared" si="1"/>
        <v>3464493186</v>
      </c>
      <c r="Q26" s="160" t="str">
        <f t="shared" si="2"/>
        <v>Line 212 + Line 312</v>
      </c>
      <c r="R26" s="133">
        <f t="shared" si="3"/>
        <v>112</v>
      </c>
    </row>
    <row r="27" spans="1:18">
      <c r="A27" s="133">
        <f t="shared" si="4"/>
        <v>113</v>
      </c>
      <c r="B27" s="546" t="s">
        <v>702</v>
      </c>
      <c r="C27" s="170"/>
      <c r="D27" s="547">
        <f>SUM(D14:D26)/13</f>
        <v>5040.6923076923076</v>
      </c>
      <c r="E27" s="547">
        <f>SUM(E14:E26)/13</f>
        <v>74418552.769230768</v>
      </c>
      <c r="F27" s="547">
        <f>SUM(F14:F26)/13</f>
        <v>112891864.07692307</v>
      </c>
      <c r="G27" s="547">
        <f>SUM(G14:G26)/13</f>
        <v>18831514.307692308</v>
      </c>
      <c r="H27" s="547">
        <f t="shared" ref="H27:P27" si="5">SUM(H14:H26)/13</f>
        <v>1663890315.1538463</v>
      </c>
      <c r="I27" s="547">
        <f t="shared" si="5"/>
        <v>16301368.23076923</v>
      </c>
      <c r="J27" s="547">
        <f t="shared" si="5"/>
        <v>354127322.61538464</v>
      </c>
      <c r="K27" s="547">
        <f t="shared" si="5"/>
        <v>395869667.23076922</v>
      </c>
      <c r="L27" s="547">
        <f t="shared" si="5"/>
        <v>530933522.38461536</v>
      </c>
      <c r="M27" s="547">
        <f t="shared" si="5"/>
        <v>106489625.3076923</v>
      </c>
      <c r="N27" s="547">
        <f t="shared" si="5"/>
        <v>78033172.384615391</v>
      </c>
      <c r="O27" s="547">
        <f t="shared" si="5"/>
        <v>12650098.615384616</v>
      </c>
      <c r="P27" s="354">
        <f t="shared" si="5"/>
        <v>3364442063.7692308</v>
      </c>
      <c r="Q27" s="160"/>
      <c r="R27" s="133">
        <f t="shared" si="3"/>
        <v>113</v>
      </c>
    </row>
    <row r="28" spans="1:18">
      <c r="A28" s="17"/>
      <c r="B28" s="17"/>
      <c r="C28" s="17"/>
      <c r="D28" s="17"/>
      <c r="E28" s="17"/>
      <c r="F28" s="17"/>
      <c r="G28" s="17"/>
      <c r="H28" s="17"/>
      <c r="I28" s="17"/>
      <c r="J28" s="17"/>
      <c r="K28" s="17"/>
      <c r="L28" s="17"/>
      <c r="M28" s="17"/>
      <c r="R28" s="133"/>
    </row>
    <row r="29" spans="1:18">
      <c r="A29" s="17"/>
      <c r="B29" s="17"/>
      <c r="C29" s="17"/>
      <c r="D29" s="17"/>
      <c r="E29" s="17"/>
      <c r="F29" s="17"/>
      <c r="G29" s="17"/>
      <c r="H29" s="17"/>
      <c r="I29" s="17"/>
      <c r="J29" s="17"/>
      <c r="K29" s="17"/>
      <c r="L29" s="17"/>
      <c r="M29" s="17"/>
      <c r="R29" s="133"/>
    </row>
    <row r="30" spans="1:18">
      <c r="B30" s="58" t="s">
        <v>818</v>
      </c>
      <c r="C30" s="58"/>
      <c r="D30" s="146"/>
      <c r="E30" s="146"/>
      <c r="F30" s="146"/>
      <c r="G30" s="146"/>
      <c r="H30" s="146"/>
      <c r="I30" s="146"/>
      <c r="J30" s="146"/>
      <c r="K30" s="146"/>
      <c r="L30" s="146"/>
      <c r="M30" s="146"/>
      <c r="N30" s="55"/>
      <c r="O30" s="55"/>
      <c r="P30" s="55"/>
      <c r="Q30" s="55"/>
      <c r="R30" s="133"/>
    </row>
    <row r="31" spans="1:18">
      <c r="B31" s="153" t="s">
        <v>819</v>
      </c>
    </row>
    <row r="32" spans="1:18">
      <c r="B32" t="s">
        <v>820</v>
      </c>
    </row>
    <row r="34" spans="1:18" ht="13.5" customHeight="1">
      <c r="A34" s="12"/>
      <c r="D34" s="124" t="s">
        <v>371</v>
      </c>
      <c r="E34" s="124" t="s">
        <v>372</v>
      </c>
      <c r="F34" s="124" t="s">
        <v>373</v>
      </c>
      <c r="G34" s="124" t="s">
        <v>374</v>
      </c>
      <c r="H34" s="124" t="s">
        <v>375</v>
      </c>
      <c r="I34" s="124" t="s">
        <v>376</v>
      </c>
      <c r="J34" s="124" t="s">
        <v>377</v>
      </c>
      <c r="K34" s="124" t="s">
        <v>378</v>
      </c>
      <c r="L34" s="124" t="s">
        <v>409</v>
      </c>
      <c r="M34" s="124" t="s">
        <v>525</v>
      </c>
      <c r="N34" s="124" t="s">
        <v>526</v>
      </c>
      <c r="O34" s="124" t="s">
        <v>527</v>
      </c>
      <c r="P34" s="124" t="s">
        <v>528</v>
      </c>
      <c r="Q34" s="124"/>
      <c r="R34" s="133"/>
    </row>
    <row r="35" spans="1:18" ht="13.5" customHeight="1">
      <c r="A35" s="12"/>
      <c r="D35" s="124"/>
      <c r="E35" s="124"/>
      <c r="F35" s="124"/>
      <c r="G35" s="124"/>
      <c r="H35" s="124"/>
      <c r="I35" s="124"/>
      <c r="J35" s="124"/>
      <c r="K35" s="124"/>
      <c r="L35" s="124"/>
      <c r="M35" s="124"/>
      <c r="N35" s="124"/>
      <c r="O35" s="124"/>
      <c r="P35" s="156" t="s">
        <v>688</v>
      </c>
      <c r="Q35" s="156"/>
      <c r="R35" s="133"/>
    </row>
    <row r="36" spans="1:18">
      <c r="B36" s="8"/>
      <c r="C36" s="8"/>
      <c r="R36" s="133"/>
    </row>
    <row r="37" spans="1:18">
      <c r="A37" s="203"/>
      <c r="B37" s="133"/>
      <c r="C37" s="132" t="s">
        <v>689</v>
      </c>
      <c r="D37" s="125">
        <v>350.01</v>
      </c>
      <c r="E37" s="125">
        <v>350.02</v>
      </c>
      <c r="F37" s="125">
        <v>352.01</v>
      </c>
      <c r="G37" s="125">
        <v>352.02</v>
      </c>
      <c r="H37" s="125">
        <v>353.01</v>
      </c>
      <c r="I37" s="125">
        <v>353.02</v>
      </c>
      <c r="J37" s="125">
        <v>354</v>
      </c>
      <c r="K37" s="125">
        <v>355</v>
      </c>
      <c r="L37" s="125">
        <v>356</v>
      </c>
      <c r="M37" s="125">
        <v>357</v>
      </c>
      <c r="N37" s="125">
        <v>358</v>
      </c>
      <c r="O37" s="125">
        <v>359</v>
      </c>
      <c r="R37" s="133"/>
    </row>
    <row r="38" spans="1:18">
      <c r="A38" s="121" t="s">
        <v>100</v>
      </c>
      <c r="B38" s="121" t="s">
        <v>384</v>
      </c>
      <c r="C38" s="121" t="s">
        <v>420</v>
      </c>
      <c r="D38" s="124" t="s">
        <v>690</v>
      </c>
      <c r="E38" s="124" t="s">
        <v>691</v>
      </c>
      <c r="F38" s="124" t="s">
        <v>692</v>
      </c>
      <c r="G38" s="124" t="s">
        <v>693</v>
      </c>
      <c r="H38" s="124" t="s">
        <v>694</v>
      </c>
      <c r="I38" s="124" t="s">
        <v>695</v>
      </c>
      <c r="J38" s="124" t="s">
        <v>696</v>
      </c>
      <c r="K38" s="124" t="s">
        <v>697</v>
      </c>
      <c r="L38" s="124" t="s">
        <v>698</v>
      </c>
      <c r="M38" s="124" t="s">
        <v>699</v>
      </c>
      <c r="N38" s="124" t="s">
        <v>700</v>
      </c>
      <c r="O38" s="124" t="s">
        <v>701</v>
      </c>
      <c r="P38" s="121" t="s">
        <v>465</v>
      </c>
      <c r="Q38" s="121"/>
      <c r="R38" s="121" t="str">
        <f>A38</f>
        <v>Line</v>
      </c>
    </row>
    <row r="39" spans="1:18">
      <c r="A39" s="133">
        <v>200</v>
      </c>
      <c r="B39" s="153" t="s">
        <v>428</v>
      </c>
      <c r="C39" s="158">
        <f>'1-BaseTRR'!$G$2-1</f>
        <v>2020</v>
      </c>
      <c r="D39" s="479">
        <v>-5156</v>
      </c>
      <c r="E39" s="479">
        <v>35359845</v>
      </c>
      <c r="F39" s="479">
        <v>52430975</v>
      </c>
      <c r="G39" s="479">
        <v>7247659</v>
      </c>
      <c r="H39" s="479">
        <v>782912231</v>
      </c>
      <c r="I39" s="479">
        <v>4060499</v>
      </c>
      <c r="J39" s="479">
        <v>190251149</v>
      </c>
      <c r="K39" s="479">
        <v>60662091</v>
      </c>
      <c r="L39" s="479">
        <v>190960059</v>
      </c>
      <c r="M39" s="479">
        <v>68545295</v>
      </c>
      <c r="N39" s="479">
        <v>29378361</v>
      </c>
      <c r="O39" s="479">
        <v>4890630</v>
      </c>
      <c r="P39" s="159">
        <f>SUM(D39:O39)</f>
        <v>1426693638</v>
      </c>
      <c r="Q39" s="160"/>
      <c r="R39" s="133">
        <f t="shared" ref="R39:R52" si="6">A39</f>
        <v>200</v>
      </c>
    </row>
    <row r="40" spans="1:18">
      <c r="A40" s="133">
        <f>A39+1</f>
        <v>201</v>
      </c>
      <c r="B40" s="153" t="s">
        <v>430</v>
      </c>
      <c r="C40" s="158">
        <f>'1-BaseTRR'!$G$2</f>
        <v>2021</v>
      </c>
      <c r="D40" s="479">
        <v>-8785</v>
      </c>
      <c r="E40" s="479">
        <v>34697281</v>
      </c>
      <c r="F40" s="479">
        <v>58567426</v>
      </c>
      <c r="G40" s="479">
        <v>6228686</v>
      </c>
      <c r="H40" s="479">
        <v>531743793</v>
      </c>
      <c r="I40" s="479">
        <v>2300651</v>
      </c>
      <c r="J40" s="479">
        <v>236309018</v>
      </c>
      <c r="K40" s="479">
        <v>27166723</v>
      </c>
      <c r="L40" s="479">
        <v>228241741</v>
      </c>
      <c r="M40" s="479">
        <v>61419090</v>
      </c>
      <c r="N40" s="479">
        <v>34040771</v>
      </c>
      <c r="O40" s="479">
        <v>5210590</v>
      </c>
      <c r="P40" s="159">
        <f t="shared" ref="P40:P51" si="7">SUM(D40:O40)</f>
        <v>1225916985</v>
      </c>
      <c r="Q40" s="160"/>
      <c r="R40" s="133">
        <f t="shared" si="6"/>
        <v>201</v>
      </c>
    </row>
    <row r="41" spans="1:18">
      <c r="A41" s="133">
        <f t="shared" ref="A41:A52" si="8">A40+1</f>
        <v>202</v>
      </c>
      <c r="B41" s="153" t="s">
        <v>431</v>
      </c>
      <c r="C41" s="158">
        <f>'1-BaseTRR'!$G$2</f>
        <v>2021</v>
      </c>
      <c r="D41" s="479">
        <v>-8791</v>
      </c>
      <c r="E41" s="479">
        <v>34854169</v>
      </c>
      <c r="F41" s="479">
        <v>58775615</v>
      </c>
      <c r="G41" s="479">
        <v>6272473</v>
      </c>
      <c r="H41" s="479">
        <v>537013207</v>
      </c>
      <c r="I41" s="479">
        <v>2306353</v>
      </c>
      <c r="J41" s="479">
        <v>236601166</v>
      </c>
      <c r="K41" s="479">
        <v>27166828</v>
      </c>
      <c r="L41" s="479">
        <v>228776040</v>
      </c>
      <c r="M41" s="479">
        <v>61862582</v>
      </c>
      <c r="N41" s="479">
        <v>34238360</v>
      </c>
      <c r="O41" s="479">
        <v>6299193</v>
      </c>
      <c r="P41" s="159">
        <f t="shared" si="7"/>
        <v>1234157195</v>
      </c>
      <c r="Q41" s="160"/>
      <c r="R41" s="133">
        <f t="shared" si="6"/>
        <v>202</v>
      </c>
    </row>
    <row r="42" spans="1:18">
      <c r="A42" s="133">
        <f t="shared" si="8"/>
        <v>203</v>
      </c>
      <c r="B42" s="153" t="s">
        <v>432</v>
      </c>
      <c r="C42" s="158">
        <f>'1-BaseTRR'!$G$2</f>
        <v>2021</v>
      </c>
      <c r="D42" s="479">
        <v>-8793</v>
      </c>
      <c r="E42" s="479">
        <v>34997653</v>
      </c>
      <c r="F42" s="479">
        <v>58981485</v>
      </c>
      <c r="G42" s="479">
        <v>6316737</v>
      </c>
      <c r="H42" s="479">
        <v>542287199</v>
      </c>
      <c r="I42" s="479">
        <v>2312106</v>
      </c>
      <c r="J42" s="479">
        <v>236442851</v>
      </c>
      <c r="K42" s="479">
        <v>26760601</v>
      </c>
      <c r="L42" s="479">
        <v>227575763</v>
      </c>
      <c r="M42" s="479">
        <v>62312536</v>
      </c>
      <c r="N42" s="479">
        <v>34442294</v>
      </c>
      <c r="O42" s="479">
        <v>6392607</v>
      </c>
      <c r="P42" s="159">
        <f t="shared" si="7"/>
        <v>1238813039</v>
      </c>
      <c r="Q42" s="160"/>
      <c r="R42" s="133">
        <f t="shared" si="6"/>
        <v>203</v>
      </c>
    </row>
    <row r="43" spans="1:18">
      <c r="A43" s="133">
        <f t="shared" si="8"/>
        <v>204</v>
      </c>
      <c r="B43" s="153" t="s">
        <v>433</v>
      </c>
      <c r="C43" s="158">
        <f>'1-BaseTRR'!$G$2</f>
        <v>2021</v>
      </c>
      <c r="D43" s="479">
        <v>-8799</v>
      </c>
      <c r="E43" s="479">
        <v>35132668</v>
      </c>
      <c r="F43" s="479">
        <v>59157536</v>
      </c>
      <c r="G43" s="479">
        <v>6361119</v>
      </c>
      <c r="H43" s="479">
        <v>545848035</v>
      </c>
      <c r="I43" s="479">
        <v>2317968</v>
      </c>
      <c r="J43" s="479">
        <v>236308860</v>
      </c>
      <c r="K43" s="479">
        <v>26494088</v>
      </c>
      <c r="L43" s="479">
        <v>227319499</v>
      </c>
      <c r="M43" s="479">
        <v>62754210</v>
      </c>
      <c r="N43" s="479">
        <v>34642241</v>
      </c>
      <c r="O43" s="479">
        <v>6485764</v>
      </c>
      <c r="P43" s="159">
        <f t="shared" si="7"/>
        <v>1242813189</v>
      </c>
      <c r="Q43" s="160"/>
      <c r="R43" s="133">
        <f t="shared" si="6"/>
        <v>204</v>
      </c>
    </row>
    <row r="44" spans="1:18">
      <c r="A44" s="133">
        <f t="shared" si="8"/>
        <v>205</v>
      </c>
      <c r="B44" s="153" t="s">
        <v>395</v>
      </c>
      <c r="C44" s="158">
        <f>'1-BaseTRR'!$G$2</f>
        <v>2021</v>
      </c>
      <c r="D44" s="479">
        <v>-8807</v>
      </c>
      <c r="E44" s="479">
        <v>35281673</v>
      </c>
      <c r="F44" s="479">
        <v>59322096</v>
      </c>
      <c r="G44" s="479">
        <v>6401126</v>
      </c>
      <c r="H44" s="479">
        <v>550944372</v>
      </c>
      <c r="I44" s="479">
        <v>2323826</v>
      </c>
      <c r="J44" s="479">
        <v>234589461</v>
      </c>
      <c r="K44" s="479">
        <v>26061092</v>
      </c>
      <c r="L44" s="479">
        <v>227893816</v>
      </c>
      <c r="M44" s="479">
        <v>63188549</v>
      </c>
      <c r="N44" s="479">
        <v>34822983</v>
      </c>
      <c r="O44" s="479">
        <v>6572513</v>
      </c>
      <c r="P44" s="159">
        <f t="shared" si="7"/>
        <v>1247392700</v>
      </c>
      <c r="Q44" s="160"/>
      <c r="R44" s="133">
        <f t="shared" si="6"/>
        <v>205</v>
      </c>
    </row>
    <row r="45" spans="1:18">
      <c r="A45" s="133">
        <f t="shared" si="8"/>
        <v>206</v>
      </c>
      <c r="B45" s="153" t="s">
        <v>531</v>
      </c>
      <c r="C45" s="158">
        <f>'1-BaseTRR'!$G$2</f>
        <v>2021</v>
      </c>
      <c r="D45" s="479">
        <v>-8816</v>
      </c>
      <c r="E45" s="479">
        <v>35436787</v>
      </c>
      <c r="F45" s="479">
        <v>59493069</v>
      </c>
      <c r="G45" s="479">
        <v>6444748</v>
      </c>
      <c r="H45" s="479">
        <v>555359404</v>
      </c>
      <c r="I45" s="479">
        <v>2329676</v>
      </c>
      <c r="J45" s="479">
        <v>234686418</v>
      </c>
      <c r="K45" s="479">
        <v>27147129</v>
      </c>
      <c r="L45" s="479">
        <v>228739819</v>
      </c>
      <c r="M45" s="479">
        <v>63647051</v>
      </c>
      <c r="N45" s="479">
        <v>35021395</v>
      </c>
      <c r="O45" s="479">
        <v>3737133</v>
      </c>
      <c r="P45" s="159">
        <f t="shared" si="7"/>
        <v>1252033813</v>
      </c>
      <c r="Q45" s="160"/>
      <c r="R45" s="133">
        <f t="shared" si="6"/>
        <v>206</v>
      </c>
    </row>
    <row r="46" spans="1:18">
      <c r="A46" s="133">
        <f t="shared" si="8"/>
        <v>207</v>
      </c>
      <c r="B46" s="153" t="s">
        <v>435</v>
      </c>
      <c r="C46" s="158">
        <f>'1-BaseTRR'!$G$2</f>
        <v>2021</v>
      </c>
      <c r="D46" s="479">
        <v>-8610</v>
      </c>
      <c r="E46" s="479">
        <v>35591763</v>
      </c>
      <c r="F46" s="479">
        <v>59659030</v>
      </c>
      <c r="G46" s="479">
        <v>6497283</v>
      </c>
      <c r="H46" s="479">
        <v>559722188</v>
      </c>
      <c r="I46" s="479">
        <v>2335582</v>
      </c>
      <c r="J46" s="479">
        <v>241070336</v>
      </c>
      <c r="K46" s="479">
        <v>25911453</v>
      </c>
      <c r="L46" s="479">
        <v>228205302</v>
      </c>
      <c r="M46" s="479">
        <v>64095739</v>
      </c>
      <c r="N46" s="479">
        <v>35220474</v>
      </c>
      <c r="O46" s="479">
        <v>3925691</v>
      </c>
      <c r="P46" s="159">
        <f t="shared" si="7"/>
        <v>1262226231</v>
      </c>
      <c r="Q46" s="160"/>
      <c r="R46" s="133">
        <f t="shared" si="6"/>
        <v>207</v>
      </c>
    </row>
    <row r="47" spans="1:18">
      <c r="A47" s="133">
        <f t="shared" si="8"/>
        <v>208</v>
      </c>
      <c r="B47" s="153" t="s">
        <v>436</v>
      </c>
      <c r="C47" s="158">
        <f>'1-BaseTRR'!$G$2</f>
        <v>2021</v>
      </c>
      <c r="D47" s="479">
        <v>-8568</v>
      </c>
      <c r="E47" s="479">
        <v>35748576</v>
      </c>
      <c r="F47" s="479">
        <v>59774554</v>
      </c>
      <c r="G47" s="479">
        <v>6543245</v>
      </c>
      <c r="H47" s="479">
        <v>564946082</v>
      </c>
      <c r="I47" s="479">
        <v>2348032</v>
      </c>
      <c r="J47" s="479">
        <v>241561872</v>
      </c>
      <c r="K47" s="479">
        <v>26125612</v>
      </c>
      <c r="L47" s="479">
        <v>227199789</v>
      </c>
      <c r="M47" s="479">
        <v>64603869</v>
      </c>
      <c r="N47" s="479">
        <v>35481599</v>
      </c>
      <c r="O47" s="479">
        <v>4105626</v>
      </c>
      <c r="P47" s="159">
        <f t="shared" si="7"/>
        <v>1268430288</v>
      </c>
      <c r="Q47" s="160"/>
      <c r="R47" s="133">
        <f t="shared" si="6"/>
        <v>208</v>
      </c>
    </row>
    <row r="48" spans="1:18">
      <c r="A48" s="133">
        <f t="shared" si="8"/>
        <v>209</v>
      </c>
      <c r="B48" s="153" t="s">
        <v>437</v>
      </c>
      <c r="C48" s="158">
        <f>'1-BaseTRR'!$G$2</f>
        <v>2021</v>
      </c>
      <c r="D48" s="479">
        <v>-8618</v>
      </c>
      <c r="E48" s="479">
        <v>35900703</v>
      </c>
      <c r="F48" s="479">
        <v>59976104</v>
      </c>
      <c r="G48" s="479">
        <v>6446310</v>
      </c>
      <c r="H48" s="479">
        <v>571437058</v>
      </c>
      <c r="I48" s="479">
        <v>2343793</v>
      </c>
      <c r="J48" s="479">
        <v>241434339</v>
      </c>
      <c r="K48" s="479">
        <v>26060067</v>
      </c>
      <c r="L48" s="479">
        <v>226133314</v>
      </c>
      <c r="M48" s="479">
        <v>64996303</v>
      </c>
      <c r="N48" s="479">
        <v>35618588</v>
      </c>
      <c r="O48" s="479">
        <v>4199047</v>
      </c>
      <c r="P48" s="159">
        <f t="shared" si="7"/>
        <v>1274537008</v>
      </c>
      <c r="Q48" s="160"/>
      <c r="R48" s="133">
        <f t="shared" si="6"/>
        <v>209</v>
      </c>
    </row>
    <row r="49" spans="1:19">
      <c r="A49" s="133">
        <f t="shared" si="8"/>
        <v>210</v>
      </c>
      <c r="B49" s="153" t="s">
        <v>438</v>
      </c>
      <c r="C49" s="158">
        <f>'1-BaseTRR'!$G$2</f>
        <v>2021</v>
      </c>
      <c r="D49" s="479">
        <v>-8667</v>
      </c>
      <c r="E49" s="479">
        <v>36056832</v>
      </c>
      <c r="F49" s="479">
        <v>60177962</v>
      </c>
      <c r="G49" s="479">
        <v>6489861</v>
      </c>
      <c r="H49" s="479">
        <v>577165262</v>
      </c>
      <c r="I49" s="479">
        <v>2349359</v>
      </c>
      <c r="J49" s="479">
        <v>241807178</v>
      </c>
      <c r="K49" s="479">
        <v>26522743</v>
      </c>
      <c r="L49" s="479">
        <v>227160936</v>
      </c>
      <c r="M49" s="479">
        <v>65436396</v>
      </c>
      <c r="N49" s="479">
        <v>35818524</v>
      </c>
      <c r="O49" s="479">
        <v>4305977</v>
      </c>
      <c r="P49" s="159">
        <f t="shared" si="7"/>
        <v>1283282363</v>
      </c>
      <c r="Q49" s="160"/>
      <c r="R49" s="133">
        <f t="shared" si="6"/>
        <v>210</v>
      </c>
    </row>
    <row r="50" spans="1:19">
      <c r="A50" s="133">
        <f t="shared" si="8"/>
        <v>211</v>
      </c>
      <c r="B50" s="153" t="s">
        <v>439</v>
      </c>
      <c r="C50" s="158">
        <f>'1-BaseTRR'!$G$2</f>
        <v>2021</v>
      </c>
      <c r="D50" s="479">
        <v>-8649</v>
      </c>
      <c r="E50" s="479">
        <v>36222365</v>
      </c>
      <c r="F50" s="479">
        <v>60361821</v>
      </c>
      <c r="G50" s="479">
        <v>6533531</v>
      </c>
      <c r="H50" s="479">
        <v>579294133</v>
      </c>
      <c r="I50" s="479">
        <v>2356948</v>
      </c>
      <c r="J50" s="479">
        <v>242163363</v>
      </c>
      <c r="K50" s="479">
        <v>26254131</v>
      </c>
      <c r="L50" s="479">
        <v>225622565</v>
      </c>
      <c r="M50" s="479">
        <v>65886810</v>
      </c>
      <c r="N50" s="479">
        <v>36019334</v>
      </c>
      <c r="O50" s="479">
        <v>4417968</v>
      </c>
      <c r="P50" s="159">
        <f t="shared" si="7"/>
        <v>1285124320</v>
      </c>
      <c r="Q50" s="160"/>
      <c r="R50" s="133">
        <f t="shared" si="6"/>
        <v>211</v>
      </c>
    </row>
    <row r="51" spans="1:19">
      <c r="A51" s="133">
        <f t="shared" si="8"/>
        <v>212</v>
      </c>
      <c r="B51" s="161" t="s">
        <v>428</v>
      </c>
      <c r="C51" s="162">
        <f>'1-BaseTRR'!$G$2</f>
        <v>2021</v>
      </c>
      <c r="D51" s="480">
        <v>117087</v>
      </c>
      <c r="E51" s="480">
        <v>36299687</v>
      </c>
      <c r="F51" s="480">
        <v>62311187</v>
      </c>
      <c r="G51" s="480">
        <v>6830513</v>
      </c>
      <c r="H51" s="480">
        <v>584897560</v>
      </c>
      <c r="I51" s="480">
        <v>2367287</v>
      </c>
      <c r="J51" s="480">
        <v>244020243</v>
      </c>
      <c r="K51" s="480">
        <v>24685326</v>
      </c>
      <c r="L51" s="480">
        <v>220693126</v>
      </c>
      <c r="M51" s="480">
        <v>66329558</v>
      </c>
      <c r="N51" s="480">
        <v>36199236</v>
      </c>
      <c r="O51" s="480">
        <v>4630645</v>
      </c>
      <c r="P51" s="204">
        <f t="shared" si="7"/>
        <v>1289381455</v>
      </c>
      <c r="Q51" s="205"/>
      <c r="R51" s="133">
        <f t="shared" si="6"/>
        <v>212</v>
      </c>
    </row>
    <row r="52" spans="1:19">
      <c r="A52" s="133">
        <f t="shared" si="8"/>
        <v>213</v>
      </c>
      <c r="B52" s="546" t="s">
        <v>702</v>
      </c>
      <c r="C52" s="170"/>
      <c r="D52" s="547">
        <f>SUM(D39:D51)/13</f>
        <v>1232.9230769230769</v>
      </c>
      <c r="E52" s="547">
        <f>SUM(E39:E51)/13</f>
        <v>35506154</v>
      </c>
      <c r="F52" s="547">
        <f>SUM(F39:F51)/13</f>
        <v>59152989.230769232</v>
      </c>
      <c r="G52" s="547">
        <f>SUM(G39:G51)/13</f>
        <v>6508714.692307692</v>
      </c>
      <c r="H52" s="547">
        <f t="shared" ref="H52:P52" si="9">SUM(H39:H51)/13</f>
        <v>575659271.07692313</v>
      </c>
      <c r="I52" s="547">
        <f t="shared" si="9"/>
        <v>2465544.6153846155</v>
      </c>
      <c r="J52" s="547">
        <f t="shared" si="9"/>
        <v>235172788.76923078</v>
      </c>
      <c r="K52" s="547">
        <f t="shared" si="9"/>
        <v>29001375.692307692</v>
      </c>
      <c r="L52" s="547">
        <f t="shared" si="9"/>
        <v>224193982.23076922</v>
      </c>
      <c r="M52" s="547">
        <f t="shared" si="9"/>
        <v>64236768.307692304</v>
      </c>
      <c r="N52" s="547">
        <f t="shared" si="9"/>
        <v>34688012.307692304</v>
      </c>
      <c r="O52" s="547">
        <f t="shared" si="9"/>
        <v>5013337.230769231</v>
      </c>
      <c r="P52" s="548">
        <f t="shared" si="9"/>
        <v>1271600171.0769231</v>
      </c>
      <c r="Q52" s="160"/>
      <c r="R52" s="133">
        <f t="shared" si="6"/>
        <v>213</v>
      </c>
    </row>
    <row r="53" spans="1:19">
      <c r="A53" s="17"/>
      <c r="B53" s="17"/>
      <c r="C53" s="17"/>
      <c r="D53" s="17"/>
      <c r="E53" s="17"/>
      <c r="F53" s="17"/>
      <c r="G53" s="17"/>
      <c r="H53" s="17"/>
      <c r="I53" s="17"/>
      <c r="J53" s="17"/>
      <c r="K53" s="17"/>
      <c r="L53" s="17"/>
      <c r="M53" s="17"/>
      <c r="R53" s="133"/>
    </row>
    <row r="54" spans="1:19">
      <c r="A54" s="17"/>
      <c r="B54" s="17"/>
      <c r="C54" s="17"/>
      <c r="D54" s="17"/>
      <c r="E54" s="17"/>
      <c r="F54" s="17"/>
      <c r="G54" s="17"/>
      <c r="H54" s="17"/>
      <c r="I54" s="17"/>
      <c r="J54" s="17"/>
      <c r="K54" s="17"/>
      <c r="L54" s="17"/>
      <c r="M54" s="17"/>
      <c r="R54" s="133"/>
    </row>
    <row r="55" spans="1:19">
      <c r="A55" s="17"/>
      <c r="B55" s="58" t="s">
        <v>821</v>
      </c>
      <c r="C55" s="58"/>
      <c r="D55" s="146"/>
      <c r="E55" s="146"/>
      <c r="F55" s="146"/>
      <c r="G55" s="146"/>
      <c r="H55" s="146"/>
      <c r="I55" s="146"/>
      <c r="J55" s="146"/>
      <c r="K55" s="146"/>
      <c r="L55" s="146"/>
      <c r="M55" s="146"/>
      <c r="N55" s="55"/>
      <c r="O55" s="55"/>
      <c r="P55" s="55"/>
      <c r="Q55" s="55"/>
      <c r="R55" s="133"/>
    </row>
    <row r="56" spans="1:19">
      <c r="A56" s="17"/>
      <c r="B56" s="153" t="s">
        <v>822</v>
      </c>
      <c r="C56" s="17"/>
      <c r="D56" s="17"/>
      <c r="E56" s="17"/>
      <c r="F56" s="17"/>
      <c r="G56" s="17"/>
      <c r="H56" s="17"/>
      <c r="I56" s="17"/>
      <c r="J56" s="17"/>
      <c r="K56" s="17"/>
      <c r="L56" s="17"/>
      <c r="M56" s="17"/>
      <c r="N56" s="17"/>
      <c r="O56" s="17"/>
      <c r="P56" s="17"/>
      <c r="Q56" s="17"/>
      <c r="R56" s="17"/>
      <c r="S56" s="17"/>
    </row>
    <row r="57" spans="1:19">
      <c r="A57" s="17"/>
      <c r="B57" t="s">
        <v>823</v>
      </c>
      <c r="C57" s="17"/>
      <c r="D57" s="17"/>
      <c r="E57" s="17"/>
      <c r="F57" s="17"/>
      <c r="G57" s="17"/>
      <c r="H57" s="17"/>
      <c r="I57" s="17"/>
      <c r="J57" s="17"/>
      <c r="K57" s="17"/>
      <c r="L57" s="17"/>
      <c r="M57" s="17"/>
      <c r="N57" s="17"/>
      <c r="O57" s="17"/>
      <c r="P57" s="17"/>
      <c r="Q57" s="17"/>
      <c r="R57" s="17"/>
      <c r="S57" s="17"/>
    </row>
    <row r="58" spans="1:19">
      <c r="A58" s="17"/>
      <c r="C58" s="17"/>
      <c r="D58" s="17"/>
      <c r="E58" s="17"/>
      <c r="F58" s="17"/>
      <c r="G58" s="17"/>
      <c r="H58" s="17"/>
      <c r="I58" s="17"/>
      <c r="J58" s="17"/>
      <c r="K58" s="17"/>
      <c r="L58" s="17"/>
      <c r="M58" s="17"/>
      <c r="N58" s="17"/>
      <c r="O58" s="17"/>
      <c r="P58" s="17"/>
      <c r="Q58" s="17"/>
      <c r="R58" s="17"/>
      <c r="S58" s="17"/>
    </row>
    <row r="59" spans="1:19">
      <c r="A59" s="12"/>
      <c r="D59" s="124" t="s">
        <v>371</v>
      </c>
      <c r="E59" s="124" t="s">
        <v>372</v>
      </c>
      <c r="F59" s="124" t="s">
        <v>373</v>
      </c>
      <c r="G59" s="124" t="s">
        <v>374</v>
      </c>
      <c r="H59" s="124" t="s">
        <v>375</v>
      </c>
      <c r="I59" s="124" t="s">
        <v>376</v>
      </c>
      <c r="J59" s="124" t="s">
        <v>377</v>
      </c>
      <c r="K59" s="124" t="s">
        <v>378</v>
      </c>
      <c r="L59" s="124" t="s">
        <v>409</v>
      </c>
      <c r="M59" s="124" t="s">
        <v>525</v>
      </c>
      <c r="N59" s="124" t="s">
        <v>526</v>
      </c>
      <c r="O59" s="124" t="s">
        <v>527</v>
      </c>
      <c r="P59" s="124" t="s">
        <v>528</v>
      </c>
      <c r="Q59" s="124"/>
      <c r="R59" s="133"/>
    </row>
    <row r="60" spans="1:19">
      <c r="A60" s="12"/>
      <c r="D60" s="124"/>
      <c r="E60" s="124"/>
      <c r="F60" s="124"/>
      <c r="G60" s="124"/>
      <c r="H60" s="124"/>
      <c r="I60" s="124"/>
      <c r="J60" s="124"/>
      <c r="K60" s="124"/>
      <c r="L60" s="124"/>
      <c r="M60" s="124"/>
      <c r="N60" s="124"/>
      <c r="O60" s="124"/>
      <c r="P60" s="156" t="s">
        <v>688</v>
      </c>
      <c r="Q60" s="156"/>
      <c r="R60" s="133"/>
    </row>
    <row r="61" spans="1:19">
      <c r="B61" s="8"/>
      <c r="C61" s="8"/>
      <c r="N61" s="30"/>
      <c r="P61" s="30"/>
      <c r="Q61" s="30"/>
      <c r="R61" s="133"/>
    </row>
    <row r="62" spans="1:19">
      <c r="A62" s="203"/>
      <c r="B62" s="133"/>
      <c r="C62" s="132" t="s">
        <v>689</v>
      </c>
      <c r="D62" s="125">
        <v>350.01</v>
      </c>
      <c r="E62" s="125">
        <v>350.02</v>
      </c>
      <c r="F62" s="125">
        <v>352.01</v>
      </c>
      <c r="G62" s="125">
        <v>352.02</v>
      </c>
      <c r="H62" s="125">
        <v>353.01</v>
      </c>
      <c r="I62" s="125">
        <v>353.02</v>
      </c>
      <c r="J62" s="125">
        <v>354</v>
      </c>
      <c r="K62" s="125">
        <v>355</v>
      </c>
      <c r="L62" s="125">
        <v>356</v>
      </c>
      <c r="M62" s="125">
        <v>357</v>
      </c>
      <c r="N62" s="125">
        <v>358</v>
      </c>
      <c r="O62" s="125">
        <v>359</v>
      </c>
      <c r="R62" s="133"/>
    </row>
    <row r="63" spans="1:19">
      <c r="A63" s="121" t="s">
        <v>100</v>
      </c>
      <c r="B63" s="121" t="s">
        <v>384</v>
      </c>
      <c r="C63" s="121" t="s">
        <v>420</v>
      </c>
      <c r="D63" s="124" t="s">
        <v>690</v>
      </c>
      <c r="E63" s="124" t="s">
        <v>691</v>
      </c>
      <c r="F63" s="124" t="s">
        <v>692</v>
      </c>
      <c r="G63" s="124" t="s">
        <v>693</v>
      </c>
      <c r="H63" s="124" t="s">
        <v>694</v>
      </c>
      <c r="I63" s="124" t="s">
        <v>695</v>
      </c>
      <c r="J63" s="124" t="s">
        <v>696</v>
      </c>
      <c r="K63" s="124" t="s">
        <v>697</v>
      </c>
      <c r="L63" s="124" t="s">
        <v>698</v>
      </c>
      <c r="M63" s="124" t="s">
        <v>699</v>
      </c>
      <c r="N63" s="124" t="s">
        <v>700</v>
      </c>
      <c r="O63" s="124" t="s">
        <v>701</v>
      </c>
      <c r="P63" s="121" t="s">
        <v>465</v>
      </c>
      <c r="Q63" s="121"/>
      <c r="R63" s="121" t="str">
        <f>A63</f>
        <v>Line</v>
      </c>
    </row>
    <row r="64" spans="1:19">
      <c r="A64" s="133">
        <v>300</v>
      </c>
      <c r="B64" s="153" t="s">
        <v>428</v>
      </c>
      <c r="C64" s="158">
        <f>'1-BaseTRR'!$G$2-1</f>
        <v>2020</v>
      </c>
      <c r="D64" s="479">
        <v>-2673</v>
      </c>
      <c r="E64" s="479">
        <v>37134888</v>
      </c>
      <c r="F64" s="479">
        <v>57275945</v>
      </c>
      <c r="G64" s="479">
        <v>10775956</v>
      </c>
      <c r="H64" s="479">
        <v>809044718</v>
      </c>
      <c r="I64" s="479">
        <v>11905869</v>
      </c>
      <c r="J64" s="479">
        <v>157335941</v>
      </c>
      <c r="K64" s="479">
        <v>318544082</v>
      </c>
      <c r="L64" s="479">
        <v>336604694</v>
      </c>
      <c r="M64" s="479">
        <v>34020582</v>
      </c>
      <c r="N64" s="479">
        <v>45789888</v>
      </c>
      <c r="O64" s="479">
        <v>10402307</v>
      </c>
      <c r="P64" s="33">
        <f>SUM(D64:O64)</f>
        <v>1828832197</v>
      </c>
      <c r="Q64" s="160"/>
      <c r="R64" s="133">
        <f t="shared" ref="R64:R77" si="10">A64</f>
        <v>300</v>
      </c>
    </row>
    <row r="65" spans="1:18">
      <c r="A65" s="133">
        <f>A64+1</f>
        <v>301</v>
      </c>
      <c r="B65" s="153" t="s">
        <v>430</v>
      </c>
      <c r="C65" s="158">
        <f>'1-BaseTRR'!$G$2</f>
        <v>2021</v>
      </c>
      <c r="D65" s="479">
        <v>-3367</v>
      </c>
      <c r="E65" s="479">
        <v>38122792</v>
      </c>
      <c r="F65" s="479">
        <v>51545490</v>
      </c>
      <c r="G65" s="479">
        <v>11955511</v>
      </c>
      <c r="H65" s="479">
        <v>1067932136</v>
      </c>
      <c r="I65" s="479">
        <v>13721566</v>
      </c>
      <c r="J65" s="479">
        <v>113242670</v>
      </c>
      <c r="K65" s="479">
        <v>355826392</v>
      </c>
      <c r="L65" s="479">
        <v>302638482</v>
      </c>
      <c r="M65" s="479">
        <v>41785710</v>
      </c>
      <c r="N65" s="479">
        <v>41595223</v>
      </c>
      <c r="O65" s="479">
        <v>10560966</v>
      </c>
      <c r="P65" s="33">
        <f t="shared" ref="P65:P76" si="11">SUM(D65:O65)</f>
        <v>2048923571</v>
      </c>
      <c r="Q65" s="160"/>
      <c r="R65" s="133">
        <f t="shared" si="10"/>
        <v>301</v>
      </c>
    </row>
    <row r="66" spans="1:18">
      <c r="A66" s="133">
        <f t="shared" ref="A66:A77" si="12">A65+1</f>
        <v>302</v>
      </c>
      <c r="B66" s="153" t="s">
        <v>431</v>
      </c>
      <c r="C66" s="158">
        <f>'1-BaseTRR'!$G$2</f>
        <v>2021</v>
      </c>
      <c r="D66" s="479">
        <v>-3362</v>
      </c>
      <c r="E66" s="479">
        <v>38290475</v>
      </c>
      <c r="F66" s="479">
        <v>51895287</v>
      </c>
      <c r="G66" s="479">
        <v>12066598</v>
      </c>
      <c r="H66" s="479">
        <v>1077020820</v>
      </c>
      <c r="I66" s="479">
        <v>13770478</v>
      </c>
      <c r="J66" s="479">
        <v>113872030</v>
      </c>
      <c r="K66" s="479">
        <v>358918675</v>
      </c>
      <c r="L66" s="479">
        <v>303845115</v>
      </c>
      <c r="M66" s="479">
        <v>41994169</v>
      </c>
      <c r="N66" s="479">
        <v>41879795</v>
      </c>
      <c r="O66" s="479">
        <v>9692525</v>
      </c>
      <c r="P66" s="33">
        <f t="shared" si="11"/>
        <v>2063242605</v>
      </c>
      <c r="Q66" s="160"/>
      <c r="R66" s="133">
        <f t="shared" si="10"/>
        <v>302</v>
      </c>
    </row>
    <row r="67" spans="1:18">
      <c r="A67" s="133">
        <f t="shared" si="12"/>
        <v>303</v>
      </c>
      <c r="B67" s="153" t="s">
        <v>432</v>
      </c>
      <c r="C67" s="158">
        <f>'1-BaseTRR'!$G$2</f>
        <v>2021</v>
      </c>
      <c r="D67" s="479">
        <v>-3361</v>
      </c>
      <c r="E67" s="479">
        <v>38447966</v>
      </c>
      <c r="F67" s="479">
        <v>52245182</v>
      </c>
      <c r="G67" s="479">
        <v>12178346</v>
      </c>
      <c r="H67" s="479">
        <v>1086290227</v>
      </c>
      <c r="I67" s="479">
        <v>13819329</v>
      </c>
      <c r="J67" s="479">
        <v>112105414</v>
      </c>
      <c r="K67" s="479">
        <v>361324937</v>
      </c>
      <c r="L67" s="479">
        <v>303129500</v>
      </c>
      <c r="M67" s="479">
        <v>42207147</v>
      </c>
      <c r="N67" s="479">
        <v>42159581</v>
      </c>
      <c r="O67" s="479">
        <v>9842021</v>
      </c>
      <c r="P67" s="33">
        <f t="shared" si="11"/>
        <v>2073746289</v>
      </c>
      <c r="Q67" s="160"/>
      <c r="R67" s="133">
        <f t="shared" si="10"/>
        <v>303</v>
      </c>
    </row>
    <row r="68" spans="1:18">
      <c r="A68" s="133">
        <f t="shared" si="12"/>
        <v>304</v>
      </c>
      <c r="B68" s="153" t="s">
        <v>433</v>
      </c>
      <c r="C68" s="158">
        <f>'1-BaseTRR'!$G$2</f>
        <v>2021</v>
      </c>
      <c r="D68" s="479">
        <v>-3357</v>
      </c>
      <c r="E68" s="479">
        <v>38627865</v>
      </c>
      <c r="F68" s="479">
        <v>52624879</v>
      </c>
      <c r="G68" s="479">
        <v>12290352</v>
      </c>
      <c r="H68" s="479">
        <v>1090833978</v>
      </c>
      <c r="I68" s="479">
        <v>13868474</v>
      </c>
      <c r="J68" s="479">
        <v>112301599</v>
      </c>
      <c r="K68" s="479">
        <v>363624865</v>
      </c>
      <c r="L68" s="479">
        <v>303113850</v>
      </c>
      <c r="M68" s="479">
        <v>42414420</v>
      </c>
      <c r="N68" s="479">
        <v>42442559</v>
      </c>
      <c r="O68" s="479">
        <v>9991506</v>
      </c>
      <c r="P68" s="33">
        <f t="shared" si="11"/>
        <v>2082130990</v>
      </c>
      <c r="Q68" s="160"/>
      <c r="R68" s="133">
        <f t="shared" si="10"/>
        <v>304</v>
      </c>
    </row>
    <row r="69" spans="1:18">
      <c r="A69" s="133">
        <f t="shared" si="12"/>
        <v>305</v>
      </c>
      <c r="B69" s="153" t="s">
        <v>395</v>
      </c>
      <c r="C69" s="158">
        <f>'1-BaseTRR'!$G$2</f>
        <v>2021</v>
      </c>
      <c r="D69" s="479">
        <v>-3355</v>
      </c>
      <c r="E69" s="479">
        <v>38798557</v>
      </c>
      <c r="F69" s="479">
        <v>52980856</v>
      </c>
      <c r="G69" s="479">
        <v>12405603</v>
      </c>
      <c r="H69" s="479">
        <v>1100274962</v>
      </c>
      <c r="I69" s="479">
        <v>13917230</v>
      </c>
      <c r="J69" s="479">
        <v>111911806</v>
      </c>
      <c r="K69" s="479">
        <v>366882843</v>
      </c>
      <c r="L69" s="479">
        <v>304637237</v>
      </c>
      <c r="M69" s="479">
        <v>42617391</v>
      </c>
      <c r="N69" s="479">
        <v>42699669</v>
      </c>
      <c r="O69" s="479">
        <v>10161980</v>
      </c>
      <c r="P69" s="33">
        <f t="shared" si="11"/>
        <v>2097284779</v>
      </c>
      <c r="Q69" s="160"/>
      <c r="R69" s="133">
        <f t="shared" si="10"/>
        <v>305</v>
      </c>
    </row>
    <row r="70" spans="1:18">
      <c r="A70" s="133">
        <f t="shared" si="12"/>
        <v>306</v>
      </c>
      <c r="B70" s="153" t="s">
        <v>531</v>
      </c>
      <c r="C70" s="158">
        <f>'1-BaseTRR'!$G$2</f>
        <v>2021</v>
      </c>
      <c r="D70" s="479">
        <v>-3349</v>
      </c>
      <c r="E70" s="479">
        <v>38972813</v>
      </c>
      <c r="F70" s="479">
        <v>53365072</v>
      </c>
      <c r="G70" s="479">
        <v>12501922</v>
      </c>
      <c r="H70" s="479">
        <v>1103528483</v>
      </c>
      <c r="I70" s="479">
        <v>13965408</v>
      </c>
      <c r="J70" s="479">
        <v>122990343</v>
      </c>
      <c r="K70" s="479">
        <v>369397963</v>
      </c>
      <c r="L70" s="479">
        <v>306706338</v>
      </c>
      <c r="M70" s="479">
        <v>42820778</v>
      </c>
      <c r="N70" s="479">
        <v>42981197</v>
      </c>
      <c r="O70" s="479">
        <v>4942367</v>
      </c>
      <c r="P70" s="33">
        <f t="shared" si="11"/>
        <v>2112169335</v>
      </c>
      <c r="Q70" s="160"/>
      <c r="R70" s="133">
        <f t="shared" si="10"/>
        <v>306</v>
      </c>
    </row>
    <row r="71" spans="1:18">
      <c r="A71" s="133">
        <f t="shared" si="12"/>
        <v>307</v>
      </c>
      <c r="B71" s="153" t="s">
        <v>435</v>
      </c>
      <c r="C71" s="158">
        <f>'1-BaseTRR'!$G$2</f>
        <v>2021</v>
      </c>
      <c r="D71" s="479">
        <v>-3565</v>
      </c>
      <c r="E71" s="479">
        <v>39147156</v>
      </c>
      <c r="F71" s="479">
        <v>53762104</v>
      </c>
      <c r="G71" s="479">
        <v>12608469</v>
      </c>
      <c r="H71" s="479">
        <v>1112215202</v>
      </c>
      <c r="I71" s="479">
        <v>14013750</v>
      </c>
      <c r="J71" s="479">
        <v>115492674</v>
      </c>
      <c r="K71" s="479">
        <v>372816375</v>
      </c>
      <c r="L71" s="479">
        <v>306061132</v>
      </c>
      <c r="M71" s="479">
        <v>43030353</v>
      </c>
      <c r="N71" s="479">
        <v>43262850</v>
      </c>
      <c r="O71" s="479">
        <v>5315957</v>
      </c>
      <c r="P71" s="33">
        <f t="shared" si="11"/>
        <v>2117722457</v>
      </c>
      <c r="Q71" s="160"/>
      <c r="R71" s="133">
        <f t="shared" si="10"/>
        <v>307</v>
      </c>
    </row>
    <row r="72" spans="1:18">
      <c r="A72" s="133">
        <f t="shared" si="12"/>
        <v>308</v>
      </c>
      <c r="B72" s="153" t="s">
        <v>436</v>
      </c>
      <c r="C72" s="158">
        <f>'1-BaseTRR'!$G$2</f>
        <v>2021</v>
      </c>
      <c r="D72" s="479">
        <v>-3136</v>
      </c>
      <c r="E72" s="479">
        <v>39322274</v>
      </c>
      <c r="F72" s="479">
        <v>54214351</v>
      </c>
      <c r="G72" s="479">
        <v>12720605</v>
      </c>
      <c r="H72" s="479">
        <v>1121464430</v>
      </c>
      <c r="I72" s="479">
        <v>14093565</v>
      </c>
      <c r="J72" s="479">
        <v>115925276</v>
      </c>
      <c r="K72" s="479">
        <v>376427342</v>
      </c>
      <c r="L72" s="479">
        <v>307543790</v>
      </c>
      <c r="M72" s="479">
        <v>43328329</v>
      </c>
      <c r="N72" s="479">
        <v>43650476</v>
      </c>
      <c r="O72" s="479">
        <v>5370655</v>
      </c>
      <c r="P72" s="33">
        <f t="shared" si="11"/>
        <v>2134057957</v>
      </c>
      <c r="Q72" s="160"/>
      <c r="R72" s="133">
        <f t="shared" si="10"/>
        <v>308</v>
      </c>
    </row>
    <row r="73" spans="1:18">
      <c r="A73" s="133">
        <f t="shared" si="12"/>
        <v>309</v>
      </c>
      <c r="B73" s="153" t="s">
        <v>437</v>
      </c>
      <c r="C73" s="158">
        <f>'1-BaseTRR'!$G$2</f>
        <v>2021</v>
      </c>
      <c r="D73" s="479">
        <v>-3082</v>
      </c>
      <c r="E73" s="479">
        <v>39494834</v>
      </c>
      <c r="F73" s="479">
        <v>54579478</v>
      </c>
      <c r="G73" s="479">
        <v>12572034</v>
      </c>
      <c r="H73" s="479">
        <v>1133315334</v>
      </c>
      <c r="I73" s="479">
        <v>14129305</v>
      </c>
      <c r="J73" s="479">
        <v>116099016</v>
      </c>
      <c r="K73" s="479">
        <v>375313039</v>
      </c>
      <c r="L73" s="479">
        <v>303745076</v>
      </c>
      <c r="M73" s="479">
        <v>43450586</v>
      </c>
      <c r="N73" s="479">
        <v>43826786</v>
      </c>
      <c r="O73" s="479">
        <v>5519169</v>
      </c>
      <c r="P73" s="33">
        <f t="shared" si="11"/>
        <v>2142041575</v>
      </c>
      <c r="Q73" s="160"/>
      <c r="R73" s="133">
        <f t="shared" si="10"/>
        <v>309</v>
      </c>
    </row>
    <row r="74" spans="1:18">
      <c r="A74" s="133">
        <f t="shared" si="12"/>
        <v>310</v>
      </c>
      <c r="B74" s="153" t="s">
        <v>438</v>
      </c>
      <c r="C74" s="158">
        <f>'1-BaseTRR'!$G$2</f>
        <v>2021</v>
      </c>
      <c r="D74" s="479">
        <v>-3038</v>
      </c>
      <c r="E74" s="479">
        <v>39669382</v>
      </c>
      <c r="F74" s="479">
        <v>54944455</v>
      </c>
      <c r="G74" s="479">
        <v>12681917</v>
      </c>
      <c r="H74" s="479">
        <v>1143639697</v>
      </c>
      <c r="I74" s="479">
        <v>14176815</v>
      </c>
      <c r="J74" s="479">
        <v>116722372</v>
      </c>
      <c r="K74" s="479">
        <v>382566197</v>
      </c>
      <c r="L74" s="479">
        <v>305868372</v>
      </c>
      <c r="M74" s="479">
        <v>43654699</v>
      </c>
      <c r="N74" s="479">
        <v>44109945</v>
      </c>
      <c r="O74" s="479">
        <v>5664831</v>
      </c>
      <c r="P74" s="33">
        <f t="shared" si="11"/>
        <v>2163695644</v>
      </c>
      <c r="Q74" s="160"/>
      <c r="R74" s="133">
        <f t="shared" si="10"/>
        <v>310</v>
      </c>
    </row>
    <row r="75" spans="1:18">
      <c r="A75" s="133">
        <f t="shared" si="12"/>
        <v>311</v>
      </c>
      <c r="B75" s="153" t="s">
        <v>439</v>
      </c>
      <c r="C75" s="158">
        <f>'1-BaseTRR'!$G$2</f>
        <v>2021</v>
      </c>
      <c r="D75" s="479">
        <v>-3055</v>
      </c>
      <c r="E75" s="479">
        <v>39835461</v>
      </c>
      <c r="F75" s="479">
        <v>55295775</v>
      </c>
      <c r="G75" s="479">
        <v>12791569</v>
      </c>
      <c r="H75" s="479">
        <v>1146271105</v>
      </c>
      <c r="I75" s="479">
        <v>14250317</v>
      </c>
      <c r="J75" s="479">
        <v>117330880</v>
      </c>
      <c r="K75" s="479">
        <v>384251840</v>
      </c>
      <c r="L75" s="479">
        <v>303893596</v>
      </c>
      <c r="M75" s="479">
        <v>43865159</v>
      </c>
      <c r="N75" s="479">
        <v>44393963</v>
      </c>
      <c r="O75" s="479">
        <v>5808865</v>
      </c>
      <c r="P75" s="33">
        <f t="shared" si="11"/>
        <v>2167985475</v>
      </c>
      <c r="Q75" s="160"/>
      <c r="R75" s="133">
        <f t="shared" si="10"/>
        <v>311</v>
      </c>
    </row>
    <row r="76" spans="1:18">
      <c r="A76" s="133">
        <f t="shared" si="12"/>
        <v>312</v>
      </c>
      <c r="B76" s="153" t="s">
        <v>428</v>
      </c>
      <c r="C76" s="158">
        <f>'1-BaseTRR'!$G$2</f>
        <v>2021</v>
      </c>
      <c r="D76" s="433">
        <v>88201</v>
      </c>
      <c r="E76" s="433">
        <v>39996721</v>
      </c>
      <c r="F76" s="433">
        <v>53876499</v>
      </c>
      <c r="G76" s="433">
        <v>12647513</v>
      </c>
      <c r="H76" s="433">
        <v>1155172481</v>
      </c>
      <c r="I76" s="433">
        <v>14233601</v>
      </c>
      <c r="J76" s="433">
        <v>121078919</v>
      </c>
      <c r="K76" s="433">
        <v>383393240</v>
      </c>
      <c r="L76" s="433">
        <v>299826840</v>
      </c>
      <c r="M76" s="433">
        <v>44097818</v>
      </c>
      <c r="N76" s="433">
        <v>44695149</v>
      </c>
      <c r="O76" s="433">
        <v>6004749</v>
      </c>
      <c r="P76" s="505">
        <f t="shared" si="11"/>
        <v>2175111731</v>
      </c>
      <c r="Q76" s="205"/>
      <c r="R76" s="133">
        <f t="shared" si="10"/>
        <v>312</v>
      </c>
    </row>
    <row r="77" spans="1:18">
      <c r="A77" s="133">
        <f t="shared" si="12"/>
        <v>313</v>
      </c>
      <c r="B77" s="632" t="s">
        <v>702</v>
      </c>
      <c r="C77" s="633"/>
      <c r="D77" s="634">
        <f>SUM(D64:D76)/13</f>
        <v>3807.7692307692309</v>
      </c>
      <c r="E77" s="634">
        <f>SUM(E64:E76)/13</f>
        <v>38912398.769230768</v>
      </c>
      <c r="F77" s="634">
        <f>SUM(F64:F76)/13</f>
        <v>53738874.846153848</v>
      </c>
      <c r="G77" s="634">
        <f>SUM(G64:G76)/13</f>
        <v>12322799.615384616</v>
      </c>
      <c r="H77" s="634">
        <f t="shared" ref="H77:P77" si="13">SUM(H64:H76)/13</f>
        <v>1088231044.0769231</v>
      </c>
      <c r="I77" s="634">
        <f t="shared" si="13"/>
        <v>13835823.615384616</v>
      </c>
      <c r="J77" s="634">
        <f t="shared" si="13"/>
        <v>118954533.84615384</v>
      </c>
      <c r="K77" s="634">
        <f t="shared" si="13"/>
        <v>366868291.53846157</v>
      </c>
      <c r="L77" s="634">
        <f t="shared" si="13"/>
        <v>306739540.15384614</v>
      </c>
      <c r="M77" s="634">
        <f t="shared" si="13"/>
        <v>42252857</v>
      </c>
      <c r="N77" s="634">
        <f t="shared" si="13"/>
        <v>43345160.07692308</v>
      </c>
      <c r="O77" s="634">
        <f t="shared" si="13"/>
        <v>7636761.384615385</v>
      </c>
      <c r="P77" s="635">
        <f t="shared" si="13"/>
        <v>2092841892.6923077</v>
      </c>
      <c r="Q77" s="160"/>
      <c r="R77" s="133">
        <f t="shared" si="10"/>
        <v>313</v>
      </c>
    </row>
    <row r="78" spans="1:18">
      <c r="A78" s="133"/>
      <c r="B78" s="163"/>
      <c r="C78" s="163"/>
      <c r="D78" s="20"/>
      <c r="E78" s="20"/>
      <c r="F78" s="20"/>
      <c r="G78" s="20"/>
      <c r="H78" s="20"/>
      <c r="I78" s="20"/>
      <c r="J78" s="20"/>
      <c r="K78" s="20"/>
      <c r="L78" s="20"/>
      <c r="M78" s="20"/>
      <c r="N78" s="20"/>
      <c r="R78" s="133"/>
    </row>
    <row r="79" spans="1:18">
      <c r="A79" s="133"/>
      <c r="B79" s="163"/>
      <c r="C79" s="163"/>
      <c r="D79" s="20"/>
      <c r="E79" s="20"/>
      <c r="F79" s="20"/>
      <c r="G79" s="20"/>
      <c r="H79" s="20"/>
      <c r="I79" s="20"/>
      <c r="J79" s="20"/>
      <c r="K79" s="20"/>
      <c r="L79" s="20"/>
      <c r="M79" s="20"/>
      <c r="N79" s="20"/>
      <c r="R79" s="133"/>
    </row>
    <row r="80" spans="1:18">
      <c r="B80" s="58" t="s">
        <v>824</v>
      </c>
      <c r="C80" s="58"/>
      <c r="D80" s="146"/>
      <c r="E80" s="146"/>
      <c r="F80" s="146"/>
      <c r="G80" s="146"/>
      <c r="H80" s="146"/>
      <c r="I80" s="146"/>
      <c r="J80" s="146"/>
      <c r="K80" s="146"/>
      <c r="L80" s="146"/>
      <c r="M80" s="146"/>
      <c r="N80" s="55"/>
      <c r="O80" s="55"/>
      <c r="P80" s="55"/>
      <c r="Q80" s="55"/>
      <c r="R80" s="133"/>
    </row>
    <row r="81" spans="1:18">
      <c r="B81" s="153" t="s">
        <v>825</v>
      </c>
      <c r="R81" s="133"/>
    </row>
    <row r="82" spans="1:18">
      <c r="R82" s="133"/>
    </row>
    <row r="83" spans="1:18">
      <c r="A83" s="12"/>
      <c r="D83" s="124" t="s">
        <v>371</v>
      </c>
      <c r="E83" s="124" t="s">
        <v>372</v>
      </c>
      <c r="F83" s="124" t="s">
        <v>373</v>
      </c>
      <c r="G83" s="124"/>
      <c r="H83" s="124"/>
      <c r="I83" s="124"/>
      <c r="J83" s="124"/>
      <c r="K83" s="124"/>
      <c r="L83" s="124"/>
      <c r="M83" s="124"/>
      <c r="N83" s="124"/>
      <c r="R83" s="133"/>
    </row>
    <row r="84" spans="1:18">
      <c r="A84" s="12"/>
      <c r="D84" s="142" t="s">
        <v>711</v>
      </c>
      <c r="E84" s="156" t="s">
        <v>111</v>
      </c>
      <c r="F84" s="156" t="s">
        <v>111</v>
      </c>
      <c r="G84" s="124"/>
      <c r="H84" s="124"/>
      <c r="I84" s="124"/>
      <c r="J84" s="124"/>
      <c r="K84" s="124"/>
      <c r="L84" s="124"/>
      <c r="M84" s="124"/>
      <c r="N84" s="124"/>
      <c r="R84" s="133"/>
    </row>
    <row r="85" spans="1:18">
      <c r="B85" s="8"/>
      <c r="C85" s="8"/>
      <c r="N85" s="30"/>
      <c r="R85" s="133"/>
    </row>
    <row r="86" spans="1:18">
      <c r="A86" s="121" t="s">
        <v>100</v>
      </c>
      <c r="B86" s="121" t="s">
        <v>384</v>
      </c>
      <c r="C86" s="121" t="s">
        <v>420</v>
      </c>
      <c r="D86" s="124" t="s">
        <v>826</v>
      </c>
      <c r="E86" s="124" t="s">
        <v>715</v>
      </c>
      <c r="F86" s="124" t="s">
        <v>716</v>
      </c>
      <c r="G86" s="124"/>
      <c r="H86" s="124"/>
      <c r="I86" s="124"/>
      <c r="J86" s="124"/>
      <c r="K86" s="124"/>
      <c r="L86" s="124"/>
      <c r="M86" s="124"/>
      <c r="N86" s="121"/>
      <c r="R86" s="121" t="str">
        <f>A86</f>
        <v>Line</v>
      </c>
    </row>
    <row r="87" spans="1:18">
      <c r="A87" s="133">
        <v>400</v>
      </c>
      <c r="B87" s="153" t="s">
        <v>428</v>
      </c>
      <c r="C87" s="158">
        <f>'1-BaseTRR'!$G$2-1</f>
        <v>2020</v>
      </c>
      <c r="D87" s="477">
        <f>+E87+F87</f>
        <v>320152032.88</v>
      </c>
      <c r="E87" s="479">
        <v>140214618.29686186</v>
      </c>
      <c r="F87" s="479">
        <v>179937414.58313817</v>
      </c>
      <c r="G87" s="166" t="s">
        <v>827</v>
      </c>
      <c r="H87" s="166"/>
      <c r="I87" s="166"/>
      <c r="J87" s="166"/>
      <c r="K87" s="166"/>
      <c r="L87" s="166"/>
      <c r="M87" s="166"/>
      <c r="N87" s="20"/>
      <c r="R87" s="133">
        <f t="shared" ref="R87:R89" si="14">A87</f>
        <v>400</v>
      </c>
    </row>
    <row r="88" spans="1:18">
      <c r="A88" s="133">
        <f>+A87+1</f>
        <v>401</v>
      </c>
      <c r="B88" s="161" t="s">
        <v>428</v>
      </c>
      <c r="C88" s="162">
        <f>'1-BaseTRR'!$G$2</f>
        <v>2021</v>
      </c>
      <c r="D88" s="478">
        <f>+E88+F88</f>
        <v>334009022.54999995</v>
      </c>
      <c r="E88" s="480">
        <v>121844420.64098677</v>
      </c>
      <c r="F88" s="480">
        <v>212164601.90901318</v>
      </c>
      <c r="G88" s="166" t="s">
        <v>828</v>
      </c>
      <c r="H88" s="167"/>
      <c r="I88" s="167"/>
      <c r="J88" s="167"/>
      <c r="K88" s="167"/>
      <c r="L88" s="167"/>
      <c r="M88" s="167"/>
      <c r="N88" s="167"/>
      <c r="R88" s="133">
        <f t="shared" si="14"/>
        <v>401</v>
      </c>
    </row>
    <row r="89" spans="1:18">
      <c r="A89" s="133">
        <f t="shared" ref="A89" si="15">A88+1</f>
        <v>402</v>
      </c>
      <c r="B89" s="170" t="s">
        <v>719</v>
      </c>
      <c r="C89" s="170"/>
      <c r="D89" s="549">
        <f t="shared" ref="D89:F89" si="16">AVERAGE(D87:D88)</f>
        <v>327080527.71499997</v>
      </c>
      <c r="E89" s="549">
        <f t="shared" si="16"/>
        <v>131029519.46892431</v>
      </c>
      <c r="F89" s="549">
        <f t="shared" si="16"/>
        <v>196051008.24607569</v>
      </c>
      <c r="G89" s="20" t="s">
        <v>720</v>
      </c>
      <c r="H89" s="20"/>
      <c r="I89" s="20"/>
      <c r="J89" s="20"/>
      <c r="K89" s="20"/>
      <c r="L89" s="20"/>
      <c r="M89" s="20"/>
      <c r="N89" s="20"/>
      <c r="R89" s="133">
        <f t="shared" si="14"/>
        <v>402</v>
      </c>
    </row>
    <row r="90" spans="1:18">
      <c r="A90" s="133"/>
      <c r="B90" s="163"/>
      <c r="C90" s="163"/>
      <c r="D90" s="20"/>
      <c r="E90" s="20"/>
      <c r="F90" s="20"/>
      <c r="G90" s="20"/>
      <c r="H90" s="20"/>
      <c r="I90" s="20"/>
      <c r="J90" s="20"/>
      <c r="K90" s="20"/>
      <c r="L90" s="20"/>
      <c r="M90" s="20"/>
      <c r="N90" s="20"/>
      <c r="R90" s="133"/>
    </row>
    <row r="91" spans="1:18">
      <c r="A91" s="133"/>
      <c r="B91" s="163"/>
      <c r="C91" s="163"/>
      <c r="D91" s="20"/>
      <c r="E91" s="20"/>
      <c r="F91" s="20"/>
      <c r="G91" s="20"/>
      <c r="H91" s="20"/>
      <c r="I91" s="20"/>
      <c r="J91" s="20"/>
      <c r="K91" s="20"/>
      <c r="L91" s="20"/>
      <c r="M91" s="20"/>
      <c r="N91" s="20"/>
      <c r="R91" s="133"/>
    </row>
    <row r="92" spans="1:18">
      <c r="B92" s="58" t="s">
        <v>829</v>
      </c>
      <c r="C92" s="58"/>
      <c r="D92" s="146"/>
      <c r="E92" s="146"/>
      <c r="F92" s="146"/>
      <c r="G92" s="146"/>
      <c r="H92" s="146"/>
      <c r="I92" s="146"/>
      <c r="J92" s="146"/>
      <c r="K92" s="146"/>
      <c r="L92" s="146"/>
      <c r="M92" s="146"/>
      <c r="N92" s="55"/>
      <c r="O92" s="55"/>
      <c r="P92" s="55"/>
      <c r="Q92" s="55"/>
      <c r="R92" s="133"/>
    </row>
    <row r="93" spans="1:18">
      <c r="B93" s="153" t="s">
        <v>830</v>
      </c>
    </row>
    <row r="95" spans="1:18">
      <c r="A95" s="12"/>
      <c r="D95" s="124" t="s">
        <v>371</v>
      </c>
      <c r="E95" s="124" t="s">
        <v>372</v>
      </c>
      <c r="F95" s="124" t="s">
        <v>373</v>
      </c>
      <c r="G95" s="124" t="s">
        <v>374</v>
      </c>
      <c r="H95" s="124" t="s">
        <v>375</v>
      </c>
      <c r="I95" s="124"/>
      <c r="J95" s="124"/>
      <c r="K95" s="124"/>
      <c r="L95" s="124"/>
      <c r="M95" s="124"/>
      <c r="N95" s="124"/>
      <c r="R95" s="133"/>
    </row>
    <row r="96" spans="1:18" ht="29">
      <c r="A96" s="12"/>
      <c r="D96" s="156" t="s">
        <v>203</v>
      </c>
      <c r="E96" s="156" t="s">
        <v>723</v>
      </c>
      <c r="F96" s="168" t="s">
        <v>724</v>
      </c>
      <c r="G96" s="156" t="s">
        <v>725</v>
      </c>
      <c r="H96" s="156" t="s">
        <v>726</v>
      </c>
      <c r="I96" s="124"/>
      <c r="J96" s="124"/>
      <c r="K96" s="124"/>
      <c r="L96" s="124"/>
      <c r="M96" s="124"/>
      <c r="N96" s="124"/>
      <c r="R96" s="133"/>
    </row>
    <row r="97" spans="1:18">
      <c r="A97" s="12"/>
      <c r="D97" s="124"/>
      <c r="E97" s="124"/>
      <c r="F97" s="124"/>
      <c r="G97" s="124"/>
      <c r="H97" s="124"/>
      <c r="I97" s="124"/>
      <c r="J97" s="124"/>
      <c r="K97" s="124"/>
      <c r="L97" s="124"/>
      <c r="M97" s="124"/>
      <c r="N97" s="124"/>
      <c r="R97" s="133"/>
    </row>
    <row r="98" spans="1:18">
      <c r="A98" s="12"/>
      <c r="D98" s="124"/>
      <c r="E98" s="8" t="s">
        <v>727</v>
      </c>
      <c r="F98" s="8" t="s">
        <v>727</v>
      </c>
      <c r="G98" s="124"/>
      <c r="H98" s="124"/>
      <c r="I98" s="124"/>
      <c r="J98" s="124"/>
      <c r="K98" s="124"/>
      <c r="L98" s="124"/>
      <c r="M98" s="124"/>
      <c r="N98" s="124"/>
      <c r="R98" s="133"/>
    </row>
    <row r="99" spans="1:18">
      <c r="B99" s="8"/>
      <c r="C99" s="8"/>
      <c r="D99" s="125" t="s">
        <v>728</v>
      </c>
      <c r="E99" s="8" t="s">
        <v>385</v>
      </c>
      <c r="F99" s="8" t="s">
        <v>385</v>
      </c>
      <c r="N99" s="30"/>
      <c r="R99" s="133"/>
    </row>
    <row r="100" spans="1:18">
      <c r="A100" s="121" t="s">
        <v>100</v>
      </c>
      <c r="B100" s="121" t="s">
        <v>384</v>
      </c>
      <c r="C100" s="121" t="s">
        <v>420</v>
      </c>
      <c r="D100" s="169" t="s">
        <v>729</v>
      </c>
      <c r="E100" s="169" t="s">
        <v>730</v>
      </c>
      <c r="F100" s="165" t="s">
        <v>731</v>
      </c>
      <c r="G100" s="124" t="s">
        <v>715</v>
      </c>
      <c r="H100" s="124" t="s">
        <v>716</v>
      </c>
      <c r="I100" s="124"/>
      <c r="J100" s="124"/>
      <c r="K100" s="124"/>
      <c r="L100" s="124"/>
      <c r="M100" s="124"/>
      <c r="N100" s="121"/>
      <c r="R100" s="121" t="str">
        <f>A100</f>
        <v>Line</v>
      </c>
    </row>
    <row r="101" spans="1:18">
      <c r="A101" s="133">
        <v>500</v>
      </c>
      <c r="B101" s="153" t="s">
        <v>428</v>
      </c>
      <c r="C101" s="158">
        <f>'1-BaseTRR'!$G$2-1</f>
        <v>2020</v>
      </c>
      <c r="D101" s="52">
        <v>1172448838.7099996</v>
      </c>
      <c r="E101" s="31">
        <f>'24-Allocators'!$C$24</f>
        <v>0.10327848903946341</v>
      </c>
      <c r="F101" s="477">
        <f>+D101*E101</f>
        <v>121088744.53804229</v>
      </c>
      <c r="G101" s="481">
        <f>+F101*'24-Allocators'!$C$43</f>
        <v>42726906.706765205</v>
      </c>
      <c r="H101" s="481">
        <f>+F101*'24-Allocators'!$C$44</f>
        <v>78361837.831277087</v>
      </c>
      <c r="I101" s="166" t="s">
        <v>831</v>
      </c>
      <c r="J101" s="166"/>
      <c r="K101" s="166"/>
      <c r="L101" s="166"/>
      <c r="M101" s="166"/>
      <c r="N101" s="20"/>
      <c r="R101" s="133">
        <f t="shared" ref="R101:R103" si="17">A101</f>
        <v>500</v>
      </c>
    </row>
    <row r="102" spans="1:18">
      <c r="A102" s="133">
        <f>+A101+1</f>
        <v>501</v>
      </c>
      <c r="B102" s="161" t="s">
        <v>428</v>
      </c>
      <c r="C102" s="162">
        <f>'1-BaseTRR'!$G$2</f>
        <v>2021</v>
      </c>
      <c r="D102" s="49">
        <v>1006714730.6500001</v>
      </c>
      <c r="E102" s="41">
        <f>'24-Allocators'!$C$24</f>
        <v>0.10327848903946341</v>
      </c>
      <c r="F102" s="478">
        <f>+D102*E102</f>
        <v>103971976.2753024</v>
      </c>
      <c r="G102" s="478">
        <f>+F102*'24-Allocators'!$C$43</f>
        <v>36687149.969064116</v>
      </c>
      <c r="H102" s="478">
        <f>+F102*'24-Allocators'!$C$44</f>
        <v>67284826.306238279</v>
      </c>
      <c r="I102" s="166" t="s">
        <v>832</v>
      </c>
      <c r="J102" s="167"/>
      <c r="K102" s="167"/>
      <c r="L102" s="167"/>
      <c r="M102" s="167"/>
      <c r="N102" s="167"/>
      <c r="R102" s="133">
        <f t="shared" si="17"/>
        <v>501</v>
      </c>
    </row>
    <row r="103" spans="1:18">
      <c r="A103" s="133">
        <f t="shared" ref="A103" si="18">A102+1</f>
        <v>502</v>
      </c>
      <c r="B103" s="170" t="s">
        <v>719</v>
      </c>
      <c r="C103" s="170"/>
      <c r="D103" s="549">
        <f>AVERAGE(D101:D102)</f>
        <v>1089581784.6799998</v>
      </c>
      <c r="E103" s="12"/>
      <c r="F103" s="549">
        <f>AVERAGE(F101:F102)</f>
        <v>112530360.40667234</v>
      </c>
      <c r="G103" s="549">
        <f t="shared" ref="G103:H103" si="19">AVERAGE(G101:G102)</f>
        <v>39707028.337914661</v>
      </c>
      <c r="H103" s="549">
        <f t="shared" si="19"/>
        <v>72823332.068757683</v>
      </c>
      <c r="I103" s="20" t="s">
        <v>734</v>
      </c>
      <c r="J103" s="20"/>
      <c r="K103" s="20"/>
      <c r="L103" s="20"/>
      <c r="M103" s="20"/>
      <c r="N103" s="20"/>
      <c r="R103" s="133">
        <f t="shared" si="17"/>
        <v>502</v>
      </c>
    </row>
    <row r="104" spans="1:18">
      <c r="A104" s="133"/>
      <c r="B104" s="153"/>
      <c r="C104" s="153"/>
      <c r="D104" s="20"/>
      <c r="E104" s="20"/>
      <c r="F104" s="20"/>
      <c r="G104" s="20"/>
      <c r="H104" s="20"/>
      <c r="I104" s="20"/>
      <c r="J104" s="20"/>
      <c r="K104" s="20"/>
      <c r="L104" s="20"/>
      <c r="M104" s="20"/>
      <c r="N104" s="20"/>
      <c r="R104" s="133"/>
    </row>
    <row r="105" spans="1:18">
      <c r="A105" s="133"/>
      <c r="B105" s="153"/>
      <c r="C105" s="153"/>
      <c r="D105" s="20"/>
      <c r="E105" s="20"/>
      <c r="F105" s="20"/>
      <c r="G105" s="20"/>
      <c r="H105" s="20"/>
      <c r="I105" s="20"/>
      <c r="J105" s="20"/>
      <c r="K105" s="20"/>
      <c r="L105" s="20"/>
      <c r="M105" s="20"/>
      <c r="N105" s="20"/>
      <c r="R105" s="133"/>
    </row>
    <row r="106" spans="1:18">
      <c r="B106" s="58" t="s">
        <v>833</v>
      </c>
      <c r="C106" s="58"/>
      <c r="D106" s="146"/>
      <c r="E106" s="146"/>
      <c r="F106" s="146"/>
      <c r="G106" s="146"/>
      <c r="H106" s="146"/>
      <c r="I106" s="146"/>
      <c r="J106" s="146"/>
      <c r="K106" s="146"/>
      <c r="L106" s="146"/>
      <c r="M106" s="146"/>
      <c r="N106" s="55"/>
      <c r="O106" s="55"/>
      <c r="P106" s="55"/>
      <c r="Q106" s="55"/>
      <c r="R106" s="133"/>
    </row>
    <row r="107" spans="1:18">
      <c r="B107" s="153" t="s">
        <v>834</v>
      </c>
    </row>
    <row r="109" spans="1:18">
      <c r="A109" s="12"/>
      <c r="D109" s="124" t="s">
        <v>371</v>
      </c>
      <c r="E109" s="124" t="s">
        <v>372</v>
      </c>
      <c r="F109" s="124" t="s">
        <v>373</v>
      </c>
      <c r="G109" s="124" t="s">
        <v>374</v>
      </c>
      <c r="H109" s="124" t="s">
        <v>375</v>
      </c>
      <c r="I109" s="124"/>
      <c r="J109" s="124"/>
      <c r="K109" s="124"/>
      <c r="L109" s="124"/>
      <c r="M109" s="124"/>
      <c r="N109" s="124"/>
      <c r="R109" s="133"/>
    </row>
    <row r="110" spans="1:18" ht="29">
      <c r="A110" s="12"/>
      <c r="D110" s="156" t="s">
        <v>251</v>
      </c>
      <c r="E110" s="156" t="s">
        <v>737</v>
      </c>
      <c r="F110" s="168" t="s">
        <v>724</v>
      </c>
      <c r="G110" s="156" t="s">
        <v>725</v>
      </c>
      <c r="H110" s="156" t="s">
        <v>726</v>
      </c>
      <c r="I110" s="124"/>
      <c r="J110" s="124"/>
      <c r="K110" s="124"/>
      <c r="L110" s="124"/>
      <c r="M110" s="124"/>
      <c r="N110" s="124"/>
      <c r="R110" s="133"/>
    </row>
    <row r="111" spans="1:18">
      <c r="A111" s="12"/>
      <c r="D111" s="124"/>
      <c r="E111" s="124"/>
      <c r="F111" s="124"/>
      <c r="G111" s="124"/>
      <c r="H111" s="124"/>
      <c r="I111" s="124"/>
      <c r="J111" s="124"/>
      <c r="K111" s="124"/>
      <c r="L111" s="124"/>
      <c r="M111" s="124"/>
      <c r="N111" s="124"/>
      <c r="R111" s="133"/>
    </row>
    <row r="112" spans="1:18">
      <c r="A112" s="12"/>
      <c r="D112" s="124"/>
      <c r="E112" s="8" t="s">
        <v>727</v>
      </c>
      <c r="F112" s="8" t="s">
        <v>727</v>
      </c>
      <c r="G112" s="124"/>
      <c r="H112" s="124"/>
      <c r="I112" s="124"/>
      <c r="J112" s="124"/>
      <c r="K112" s="124"/>
      <c r="L112" s="124"/>
      <c r="M112" s="124"/>
      <c r="N112" s="124"/>
      <c r="R112" s="133"/>
    </row>
    <row r="113" spans="1:18">
      <c r="B113" s="8"/>
      <c r="C113" s="8"/>
      <c r="D113" s="125" t="s">
        <v>738</v>
      </c>
      <c r="E113" s="8" t="s">
        <v>385</v>
      </c>
      <c r="F113" s="8" t="s">
        <v>385</v>
      </c>
      <c r="N113" s="30"/>
      <c r="R113" s="133"/>
    </row>
    <row r="114" spans="1:18">
      <c r="A114" s="121" t="s">
        <v>100</v>
      </c>
      <c r="B114" s="121" t="s">
        <v>384</v>
      </c>
      <c r="C114" s="121" t="s">
        <v>420</v>
      </c>
      <c r="D114" s="169" t="s">
        <v>729</v>
      </c>
      <c r="E114" s="169" t="s">
        <v>730</v>
      </c>
      <c r="F114" s="165" t="s">
        <v>731</v>
      </c>
      <c r="G114" s="124" t="s">
        <v>715</v>
      </c>
      <c r="H114" s="124" t="s">
        <v>716</v>
      </c>
      <c r="I114" s="124"/>
      <c r="J114" s="124"/>
      <c r="K114" s="124"/>
      <c r="L114" s="124"/>
      <c r="M114" s="124"/>
      <c r="N114" s="121"/>
      <c r="R114" s="121" t="str">
        <f>A114</f>
        <v>Line</v>
      </c>
    </row>
    <row r="115" spans="1:18">
      <c r="A115" s="133">
        <v>600</v>
      </c>
      <c r="B115" s="153" t="s">
        <v>428</v>
      </c>
      <c r="C115" s="158">
        <f>'1-BaseTRR'!$G$2-1</f>
        <v>2020</v>
      </c>
      <c r="D115" s="52">
        <v>66401654.049999997</v>
      </c>
      <c r="E115" s="31">
        <f>'24-Allocators'!$C$23</f>
        <v>0.14690087374748809</v>
      </c>
      <c r="F115" s="477">
        <f>+D115*E115</f>
        <v>9754460.9982234314</v>
      </c>
      <c r="G115" s="481">
        <f>+F115*'24-Allocators'!$C$43</f>
        <v>3441921.4323832863</v>
      </c>
      <c r="H115" s="481">
        <f>+F115*'24-Allocators'!$C$44</f>
        <v>6312539.5658401456</v>
      </c>
      <c r="I115" s="166" t="s">
        <v>835</v>
      </c>
      <c r="J115" s="166"/>
      <c r="K115" s="166"/>
      <c r="L115" s="166"/>
      <c r="M115" s="166"/>
      <c r="N115" s="20"/>
      <c r="R115" s="133">
        <f t="shared" ref="R115:R117" si="20">A115</f>
        <v>600</v>
      </c>
    </row>
    <row r="116" spans="1:18">
      <c r="A116" s="133">
        <f>+A115+1</f>
        <v>601</v>
      </c>
      <c r="B116" s="161" t="s">
        <v>428</v>
      </c>
      <c r="C116" s="162">
        <f>'1-BaseTRR'!$G$2</f>
        <v>2021</v>
      </c>
      <c r="D116" s="49">
        <v>77287812.320000023</v>
      </c>
      <c r="E116" s="41">
        <f>'24-Allocators'!$C$23</f>
        <v>0.14690087374748809</v>
      </c>
      <c r="F116" s="478">
        <f>+D116*E116</f>
        <v>11353647.159839878</v>
      </c>
      <c r="G116" s="478">
        <f>+F116*'24-Allocators'!$C$43</f>
        <v>4006204.0847041984</v>
      </c>
      <c r="H116" s="478">
        <f>+F116*'24-Allocators'!$C$44</f>
        <v>7347443.0751356799</v>
      </c>
      <c r="I116" s="166" t="s">
        <v>836</v>
      </c>
      <c r="J116" s="167"/>
      <c r="K116" s="167"/>
      <c r="L116" s="167"/>
      <c r="M116" s="167"/>
      <c r="N116" s="167"/>
      <c r="R116" s="133">
        <f t="shared" si="20"/>
        <v>601</v>
      </c>
    </row>
    <row r="117" spans="1:18">
      <c r="A117" s="133">
        <f t="shared" ref="A117" si="21">A116+1</f>
        <v>602</v>
      </c>
      <c r="B117" s="170" t="s">
        <v>719</v>
      </c>
      <c r="C117" s="170"/>
      <c r="D117" s="549">
        <f>AVERAGE(D115:D116)</f>
        <v>71844733.185000002</v>
      </c>
      <c r="E117" s="12"/>
      <c r="F117" s="549">
        <f>AVERAGE(F115:F116)</f>
        <v>10554054.079031654</v>
      </c>
      <c r="G117" s="549">
        <f t="shared" ref="G117:H117" si="22">AVERAGE(G115:G116)</f>
        <v>3724062.7585437424</v>
      </c>
      <c r="H117" s="549">
        <f t="shared" si="22"/>
        <v>6829991.3204879127</v>
      </c>
      <c r="I117" s="20" t="s">
        <v>741</v>
      </c>
      <c r="J117" s="20"/>
      <c r="K117" s="20"/>
      <c r="L117" s="20"/>
      <c r="M117" s="20"/>
      <c r="N117" s="20"/>
      <c r="R117" s="133">
        <f t="shared" si="20"/>
        <v>602</v>
      </c>
    </row>
    <row r="118" spans="1:18">
      <c r="A118" s="133"/>
      <c r="B118" s="163"/>
      <c r="C118" s="163"/>
      <c r="D118" s="206"/>
      <c r="E118" s="206"/>
      <c r="F118" s="206"/>
      <c r="G118" s="20"/>
      <c r="H118" s="20"/>
      <c r="I118" s="20"/>
      <c r="J118" s="20"/>
      <c r="K118" s="20"/>
      <c r="L118" s="20"/>
      <c r="M118" s="20"/>
      <c r="N118" s="20"/>
      <c r="R118" s="133"/>
    </row>
    <row r="119" spans="1:18">
      <c r="A119" s="133"/>
      <c r="B119" s="163"/>
      <c r="C119" s="163"/>
      <c r="D119" s="206"/>
      <c r="E119" s="206"/>
      <c r="F119" s="206"/>
      <c r="G119" s="20"/>
      <c r="H119" s="20"/>
      <c r="I119" s="20"/>
      <c r="J119" s="20"/>
      <c r="K119" s="20"/>
      <c r="L119" s="20"/>
      <c r="M119" s="20"/>
      <c r="N119" s="20"/>
      <c r="R119" s="133"/>
    </row>
    <row r="120" spans="1:18">
      <c r="B120" s="207" t="s">
        <v>837</v>
      </c>
      <c r="C120" s="207"/>
      <c r="D120" s="60"/>
      <c r="E120" s="60"/>
      <c r="F120" s="60"/>
      <c r="G120" s="60"/>
      <c r="H120" s="60"/>
      <c r="I120" s="60"/>
      <c r="J120" s="60"/>
      <c r="K120" s="60"/>
      <c r="L120" s="60"/>
      <c r="M120" s="60"/>
      <c r="N120" s="60"/>
      <c r="O120" s="55"/>
      <c r="P120" s="55"/>
      <c r="Q120" s="55"/>
      <c r="R120" s="133"/>
    </row>
    <row r="121" spans="1:18">
      <c r="B121" s="153" t="s">
        <v>838</v>
      </c>
    </row>
    <row r="123" spans="1:18">
      <c r="A123" s="12"/>
      <c r="D123" s="124" t="s">
        <v>371</v>
      </c>
      <c r="E123" s="124" t="s">
        <v>372</v>
      </c>
      <c r="F123" s="124" t="s">
        <v>373</v>
      </c>
      <c r="G123" s="20"/>
      <c r="H123" s="20"/>
      <c r="I123" s="20"/>
      <c r="J123" s="20"/>
      <c r="K123" s="20"/>
      <c r="L123" s="20"/>
      <c r="M123" s="20"/>
      <c r="N123" s="20"/>
      <c r="R123" s="133"/>
    </row>
    <row r="124" spans="1:18" ht="29">
      <c r="B124" s="8"/>
      <c r="C124" s="8"/>
      <c r="D124" s="156" t="s">
        <v>744</v>
      </c>
      <c r="E124" s="156" t="s">
        <v>744</v>
      </c>
      <c r="F124" s="156" t="s">
        <v>744</v>
      </c>
      <c r="G124" s="20"/>
      <c r="H124" s="20"/>
      <c r="I124" s="20"/>
      <c r="J124" s="20"/>
      <c r="K124" s="20"/>
      <c r="L124" s="20"/>
      <c r="M124" s="20"/>
      <c r="N124" s="20"/>
      <c r="R124" s="133"/>
    </row>
    <row r="125" spans="1:18">
      <c r="B125" s="8"/>
      <c r="C125" s="8"/>
      <c r="D125" s="156"/>
      <c r="E125" s="156"/>
      <c r="F125" s="156"/>
      <c r="G125" s="20"/>
      <c r="H125" s="20"/>
      <c r="I125" s="20"/>
      <c r="J125" s="20"/>
      <c r="K125" s="20"/>
      <c r="L125" s="20"/>
      <c r="M125" s="20"/>
      <c r="N125" s="20"/>
      <c r="R125" s="133"/>
    </row>
    <row r="126" spans="1:18">
      <c r="A126" s="121" t="s">
        <v>100</v>
      </c>
      <c r="B126" s="121" t="s">
        <v>384</v>
      </c>
      <c r="C126" s="121" t="s">
        <v>420</v>
      </c>
      <c r="D126" s="124" t="s">
        <v>826</v>
      </c>
      <c r="E126" s="124" t="s">
        <v>715</v>
      </c>
      <c r="F126" s="124" t="s">
        <v>716</v>
      </c>
      <c r="G126" s="124" t="s">
        <v>135</v>
      </c>
      <c r="H126" s="20"/>
      <c r="I126" s="20"/>
      <c r="J126" s="20"/>
      <c r="K126" s="20"/>
      <c r="L126" s="20"/>
      <c r="M126" s="20"/>
      <c r="N126" s="20"/>
      <c r="R126" s="121" t="str">
        <f>A126</f>
        <v>Line</v>
      </c>
    </row>
    <row r="127" spans="1:18">
      <c r="A127" s="133">
        <v>700</v>
      </c>
      <c r="B127" s="153" t="s">
        <v>428</v>
      </c>
      <c r="C127" s="158">
        <f>'1-BaseTRR'!$G$2-1</f>
        <v>2020</v>
      </c>
      <c r="D127" s="477">
        <f t="shared" ref="D127:F128" si="23">+D87+F101+F115</f>
        <v>450995238.41626573</v>
      </c>
      <c r="E127" s="477">
        <f t="shared" si="23"/>
        <v>186383446.43601036</v>
      </c>
      <c r="F127" s="477">
        <f t="shared" si="23"/>
        <v>264611791.9802554</v>
      </c>
      <c r="G127" s="166" t="s">
        <v>750</v>
      </c>
      <c r="H127" s="167"/>
      <c r="I127" s="167"/>
      <c r="J127" s="167"/>
      <c r="K127" s="167"/>
      <c r="L127" s="167"/>
      <c r="M127" s="167"/>
      <c r="N127" s="167"/>
      <c r="R127" s="133">
        <f t="shared" ref="R127:R129" si="24">A127</f>
        <v>700</v>
      </c>
    </row>
    <row r="128" spans="1:18">
      <c r="A128" s="133">
        <f>+A127+1</f>
        <v>701</v>
      </c>
      <c r="B128" s="161" t="s">
        <v>428</v>
      </c>
      <c r="C128" s="162">
        <f>'1-BaseTRR'!$G$2</f>
        <v>2021</v>
      </c>
      <c r="D128" s="478">
        <f t="shared" si="23"/>
        <v>449334645.98514223</v>
      </c>
      <c r="E128" s="478">
        <f t="shared" si="23"/>
        <v>162537774.69475508</v>
      </c>
      <c r="F128" s="478">
        <f t="shared" si="23"/>
        <v>286796871.29038715</v>
      </c>
      <c r="G128" s="166" t="s">
        <v>751</v>
      </c>
      <c r="H128" s="20"/>
      <c r="I128" s="20"/>
      <c r="J128" s="20"/>
      <c r="K128" s="20"/>
      <c r="L128" s="20"/>
      <c r="M128" s="20"/>
      <c r="N128" s="20"/>
      <c r="R128" s="133">
        <f t="shared" si="24"/>
        <v>701</v>
      </c>
    </row>
    <row r="129" spans="1:18">
      <c r="A129" s="133">
        <f t="shared" ref="A129" si="25">A128+1</f>
        <v>702</v>
      </c>
      <c r="B129" s="170" t="s">
        <v>719</v>
      </c>
      <c r="C129" s="170"/>
      <c r="D129" s="549">
        <f>AVERAGE(D127:D128)</f>
        <v>450164942.20070398</v>
      </c>
      <c r="E129" s="549">
        <f t="shared" ref="E129:F129" si="26">AVERAGE(E127:E128)</f>
        <v>174460610.56538272</v>
      </c>
      <c r="F129" s="549">
        <f t="shared" si="26"/>
        <v>275704331.63532126</v>
      </c>
      <c r="G129" s="20" t="s">
        <v>752</v>
      </c>
      <c r="H129" s="20"/>
      <c r="I129" s="20"/>
      <c r="J129" s="20"/>
      <c r="K129" s="20"/>
      <c r="L129" s="20"/>
      <c r="M129" s="20"/>
      <c r="N129" s="20"/>
      <c r="R129" s="133">
        <f t="shared" si="24"/>
        <v>702</v>
      </c>
    </row>
    <row r="130" spans="1:18">
      <c r="A130" s="133"/>
      <c r="B130" s="163"/>
      <c r="C130" s="163"/>
      <c r="D130" s="20"/>
      <c r="E130" s="20"/>
      <c r="F130" s="20"/>
      <c r="G130" s="20"/>
      <c r="H130" s="20"/>
      <c r="I130" s="20"/>
      <c r="J130" s="20"/>
      <c r="K130" s="20"/>
      <c r="L130" s="20"/>
      <c r="M130" s="20"/>
      <c r="N130" s="20"/>
    </row>
    <row r="131" spans="1:18">
      <c r="A131" s="133"/>
      <c r="B131" s="163"/>
      <c r="C131" s="163"/>
      <c r="D131" s="20"/>
      <c r="E131" s="20"/>
      <c r="F131" s="20"/>
      <c r="G131" s="20"/>
      <c r="H131" s="20"/>
      <c r="I131" s="20"/>
      <c r="J131" s="20"/>
      <c r="K131" s="20"/>
      <c r="L131" s="20"/>
      <c r="M131" s="20"/>
      <c r="N131" s="20"/>
    </row>
    <row r="132" spans="1:18" ht="15" customHeight="1">
      <c r="B132" s="16" t="s">
        <v>306</v>
      </c>
      <c r="C132" s="163"/>
      <c r="D132" s="20"/>
      <c r="E132" s="20"/>
      <c r="F132" s="20"/>
      <c r="G132" s="20"/>
      <c r="H132" s="20"/>
      <c r="I132" s="20"/>
      <c r="J132" s="20"/>
      <c r="K132" s="20"/>
      <c r="L132" s="20"/>
      <c r="M132" s="20"/>
      <c r="N132" s="20"/>
    </row>
    <row r="133" spans="1:18">
      <c r="A133" s="208"/>
      <c r="B133" s="843" t="s">
        <v>839</v>
      </c>
      <c r="C133" s="843"/>
      <c r="D133" s="843"/>
      <c r="E133" s="843"/>
      <c r="F133" s="843"/>
      <c r="G133" s="843"/>
      <c r="H133" s="843"/>
      <c r="I133" s="843"/>
      <c r="J133" s="843"/>
      <c r="K133" s="843"/>
      <c r="L133" s="843"/>
      <c r="M133" s="843"/>
      <c r="N133" s="843"/>
      <c r="O133" s="843"/>
      <c r="P133" s="843"/>
      <c r="Q133" s="843"/>
    </row>
    <row r="134" spans="1:18">
      <c r="A134" s="133"/>
      <c r="B134" s="843" t="s">
        <v>840</v>
      </c>
      <c r="C134" s="843"/>
      <c r="D134" s="843"/>
      <c r="E134" s="843"/>
      <c r="F134" s="843"/>
      <c r="G134" s="843"/>
      <c r="H134" s="843"/>
      <c r="I134" s="843"/>
      <c r="J134" s="843"/>
      <c r="K134" s="843"/>
      <c r="L134" s="843"/>
      <c r="M134" s="843"/>
      <c r="N134" s="843"/>
      <c r="O134" s="843"/>
      <c r="P134" s="843"/>
      <c r="Q134" s="843"/>
    </row>
    <row r="135" spans="1:18">
      <c r="A135" s="133"/>
      <c r="B135" s="843" t="s">
        <v>841</v>
      </c>
      <c r="C135" s="843"/>
      <c r="D135" s="843"/>
      <c r="E135" s="843"/>
      <c r="F135" s="843"/>
      <c r="G135" s="843"/>
      <c r="H135" s="843"/>
      <c r="I135" s="843"/>
      <c r="J135" s="843"/>
      <c r="K135" s="843"/>
      <c r="L135" s="843"/>
      <c r="M135" s="843"/>
      <c r="N135" s="843"/>
      <c r="O135" s="843"/>
      <c r="P135" s="843"/>
      <c r="Q135" s="843"/>
    </row>
    <row r="136" spans="1:18">
      <c r="A136" s="133"/>
      <c r="B136" s="843" t="s">
        <v>684</v>
      </c>
      <c r="C136" s="843"/>
      <c r="D136" s="843"/>
      <c r="E136" s="843"/>
      <c r="F136" s="843"/>
      <c r="G136" s="843"/>
      <c r="H136" s="843"/>
      <c r="I136" s="843"/>
      <c r="J136" s="843"/>
      <c r="K136" s="843"/>
      <c r="L136" s="843"/>
      <c r="M136" s="843"/>
      <c r="N136" s="843"/>
      <c r="O136" s="843"/>
      <c r="P136" s="843"/>
      <c r="Q136" s="843"/>
    </row>
    <row r="137" spans="1:18">
      <c r="A137" s="133"/>
      <c r="B137" s="163"/>
      <c r="C137" s="163"/>
      <c r="D137" s="209"/>
      <c r="E137" s="209"/>
      <c r="F137" s="209"/>
      <c r="G137" s="209"/>
      <c r="H137" s="209"/>
      <c r="I137" s="209"/>
      <c r="J137" s="209"/>
      <c r="K137" s="209"/>
      <c r="L137" s="209"/>
      <c r="M137" s="209"/>
      <c r="N137" s="210"/>
    </row>
    <row r="138" spans="1:18">
      <c r="A138" s="133"/>
      <c r="B138" s="163"/>
      <c r="C138" s="163"/>
      <c r="D138" s="209"/>
      <c r="E138" s="209"/>
      <c r="F138" s="209"/>
      <c r="G138" s="209"/>
      <c r="H138" s="209"/>
      <c r="I138" s="209"/>
      <c r="J138" s="209"/>
      <c r="K138" s="209"/>
      <c r="L138" s="209"/>
      <c r="M138" s="209"/>
      <c r="N138" s="210"/>
    </row>
    <row r="139" spans="1:18">
      <c r="A139" s="133"/>
      <c r="B139" s="163"/>
      <c r="C139" s="163"/>
      <c r="D139" s="209"/>
      <c r="E139" s="209"/>
      <c r="F139" s="209"/>
      <c r="G139" s="209"/>
      <c r="H139" s="209"/>
      <c r="I139" s="209"/>
      <c r="J139" s="209"/>
      <c r="K139" s="209"/>
      <c r="L139" s="209"/>
      <c r="M139" s="209"/>
      <c r="N139" s="210"/>
    </row>
    <row r="140" spans="1:18">
      <c r="A140" s="133"/>
      <c r="B140" s="163"/>
      <c r="C140" s="163"/>
      <c r="D140" s="209"/>
      <c r="E140" s="209"/>
      <c r="F140" s="209"/>
      <c r="G140" s="209"/>
      <c r="H140" s="209"/>
      <c r="I140" s="209"/>
      <c r="J140" s="209"/>
      <c r="K140" s="209"/>
      <c r="L140" s="209"/>
      <c r="M140" s="209"/>
      <c r="N140" s="210"/>
    </row>
    <row r="141" spans="1:18">
      <c r="A141" s="133"/>
      <c r="B141" s="163"/>
      <c r="C141" s="163"/>
      <c r="D141" s="209"/>
      <c r="E141" s="209"/>
      <c r="F141" s="209"/>
      <c r="G141" s="209"/>
      <c r="H141" s="209"/>
      <c r="I141" s="209"/>
      <c r="J141" s="209"/>
      <c r="K141" s="209"/>
      <c r="L141" s="209"/>
      <c r="M141" s="209"/>
      <c r="N141" s="210"/>
    </row>
    <row r="142" spans="1:18">
      <c r="A142" s="133"/>
      <c r="B142" s="163"/>
      <c r="C142" s="163"/>
      <c r="D142" s="209"/>
      <c r="E142" s="209"/>
      <c r="F142" s="209"/>
      <c r="G142" s="209"/>
      <c r="H142" s="209"/>
      <c r="I142" s="209"/>
      <c r="J142" s="209"/>
      <c r="K142" s="209"/>
      <c r="L142" s="209"/>
      <c r="M142" s="209"/>
      <c r="N142" s="210"/>
    </row>
    <row r="143" spans="1:18">
      <c r="A143" s="133"/>
      <c r="B143" s="163"/>
      <c r="C143" s="163"/>
      <c r="D143" s="209"/>
      <c r="E143" s="209"/>
      <c r="F143" s="209"/>
      <c r="G143" s="209"/>
      <c r="H143" s="209"/>
      <c r="I143" s="209"/>
      <c r="J143" s="209"/>
      <c r="K143" s="209"/>
      <c r="L143" s="209"/>
      <c r="M143" s="209"/>
      <c r="N143" s="210"/>
    </row>
    <row r="144" spans="1:18">
      <c r="A144" s="133"/>
      <c r="B144" s="163"/>
      <c r="C144" s="163"/>
      <c r="D144" s="209"/>
      <c r="E144" s="209"/>
      <c r="F144" s="209"/>
      <c r="G144" s="209"/>
      <c r="H144" s="209"/>
      <c r="I144" s="209"/>
      <c r="J144" s="209"/>
      <c r="K144" s="209" t="e">
        <f>E30/E144*E151</f>
        <v>#DIV/0!</v>
      </c>
      <c r="L144" s="209"/>
      <c r="M144" s="209"/>
      <c r="N144" s="210"/>
    </row>
    <row r="145" spans="1:18">
      <c r="A145" s="133"/>
      <c r="B145" s="163"/>
      <c r="C145" s="163"/>
      <c r="D145" s="209"/>
      <c r="E145" s="209"/>
      <c r="F145" s="209"/>
      <c r="G145" s="209"/>
      <c r="H145" s="209"/>
      <c r="I145" s="209"/>
      <c r="J145" s="209"/>
      <c r="K145" s="209"/>
      <c r="L145" s="209"/>
      <c r="M145" s="209"/>
      <c r="N145" s="210"/>
    </row>
    <row r="146" spans="1:18">
      <c r="A146" s="133"/>
      <c r="B146" s="163"/>
      <c r="C146" s="163"/>
      <c r="D146" s="209"/>
      <c r="E146" s="209"/>
      <c r="F146" s="209"/>
      <c r="G146" s="209"/>
      <c r="H146" s="209"/>
      <c r="I146" s="209"/>
      <c r="J146" s="209"/>
      <c r="K146" s="209"/>
      <c r="L146" s="209"/>
      <c r="M146" s="209"/>
      <c r="N146" s="210"/>
    </row>
    <row r="147" spans="1:18">
      <c r="A147" s="133"/>
      <c r="B147" s="163"/>
      <c r="C147" s="163"/>
      <c r="D147" s="20"/>
      <c r="E147" s="20"/>
      <c r="F147" s="20"/>
      <c r="G147" s="20"/>
      <c r="H147" s="20"/>
      <c r="I147" s="20"/>
      <c r="J147" s="20"/>
      <c r="K147" s="20"/>
      <c r="L147" s="20"/>
      <c r="M147" s="20"/>
      <c r="N147" s="20"/>
    </row>
    <row r="148" spans="1:18">
      <c r="B148" s="144"/>
      <c r="C148" s="144"/>
    </row>
    <row r="150" spans="1:18">
      <c r="A150" s="12"/>
      <c r="B150" s="124"/>
      <c r="C150" s="124"/>
      <c r="D150" s="124"/>
      <c r="E150" s="124"/>
      <c r="F150" s="124"/>
      <c r="G150" s="124"/>
      <c r="H150" s="124"/>
      <c r="I150" s="124"/>
      <c r="J150" s="124"/>
      <c r="K150" s="124"/>
      <c r="L150" s="124"/>
      <c r="M150" s="124"/>
      <c r="N150" s="124"/>
    </row>
    <row r="151" spans="1:18">
      <c r="B151" s="30"/>
      <c r="C151" s="30"/>
      <c r="N151" s="30"/>
    </row>
    <row r="152" spans="1:18">
      <c r="A152" s="208"/>
      <c r="B152" s="121"/>
      <c r="C152" s="121"/>
      <c r="D152" s="124"/>
      <c r="E152" s="124"/>
      <c r="F152" s="124"/>
      <c r="G152" s="124"/>
      <c r="H152" s="124"/>
      <c r="I152" s="124"/>
      <c r="J152" s="124"/>
      <c r="K152" s="124"/>
      <c r="L152" s="124"/>
      <c r="M152" s="124"/>
      <c r="N152" s="121"/>
    </row>
    <row r="153" spans="1:18">
      <c r="A153" s="133"/>
      <c r="B153" s="163"/>
      <c r="C153" s="163"/>
      <c r="D153" s="211"/>
      <c r="E153" s="211"/>
      <c r="F153" s="211"/>
      <c r="G153" s="211"/>
      <c r="H153" s="211"/>
      <c r="I153" s="211"/>
      <c r="J153" s="211"/>
      <c r="K153" s="211"/>
      <c r="L153" s="211"/>
      <c r="M153" s="211"/>
      <c r="N153" s="211"/>
      <c r="R153" s="20"/>
    </row>
    <row r="154" spans="1:18">
      <c r="A154" s="133"/>
      <c r="B154" s="163"/>
      <c r="C154" s="163"/>
      <c r="D154" s="211"/>
      <c r="E154" s="211"/>
      <c r="F154" s="211"/>
      <c r="G154" s="211"/>
      <c r="H154" s="211"/>
      <c r="I154" s="211"/>
      <c r="J154" s="211"/>
      <c r="K154" s="211"/>
      <c r="L154" s="211"/>
      <c r="M154" s="211"/>
      <c r="N154" s="211"/>
      <c r="R154" s="20"/>
    </row>
    <row r="155" spans="1:18">
      <c r="A155" s="133"/>
      <c r="B155" s="163"/>
      <c r="C155" s="163"/>
      <c r="D155" s="211"/>
      <c r="E155" s="211"/>
      <c r="F155" s="211"/>
      <c r="G155" s="211"/>
      <c r="H155" s="211"/>
      <c r="I155" s="211"/>
      <c r="J155" s="211"/>
      <c r="K155" s="211"/>
      <c r="L155" s="211"/>
      <c r="M155" s="211"/>
      <c r="N155" s="211"/>
      <c r="R155" s="20"/>
    </row>
    <row r="156" spans="1:18">
      <c r="A156" s="133"/>
      <c r="B156" s="163"/>
      <c r="C156" s="163"/>
      <c r="D156" s="211"/>
      <c r="E156" s="211"/>
      <c r="F156" s="211"/>
      <c r="G156" s="211"/>
      <c r="H156" s="211"/>
      <c r="I156" s="211"/>
      <c r="J156" s="211"/>
      <c r="K156" s="211"/>
      <c r="L156" s="211"/>
      <c r="M156" s="211"/>
      <c r="N156" s="211"/>
      <c r="R156" s="20"/>
    </row>
    <row r="157" spans="1:18">
      <c r="A157" s="133"/>
      <c r="B157" s="163"/>
      <c r="C157" s="163"/>
      <c r="D157" s="211"/>
      <c r="E157" s="211"/>
      <c r="F157" s="211"/>
      <c r="G157" s="211"/>
      <c r="H157" s="211"/>
      <c r="I157" s="211"/>
      <c r="J157" s="211"/>
      <c r="K157" s="211"/>
      <c r="L157" s="211"/>
      <c r="M157" s="211"/>
      <c r="N157" s="211"/>
      <c r="R157" s="20"/>
    </row>
    <row r="158" spans="1:18">
      <c r="A158" s="133"/>
      <c r="B158" s="163"/>
      <c r="C158" s="163"/>
      <c r="D158" s="211"/>
      <c r="E158" s="211"/>
      <c r="F158" s="211"/>
      <c r="G158" s="211"/>
      <c r="H158" s="211"/>
      <c r="I158" s="211"/>
      <c r="J158" s="211"/>
      <c r="K158" s="211"/>
      <c r="L158" s="211"/>
      <c r="M158" s="211"/>
      <c r="N158" s="211"/>
      <c r="R158" s="20"/>
    </row>
    <row r="159" spans="1:18">
      <c r="A159" s="133"/>
      <c r="B159" s="163"/>
      <c r="C159" s="163"/>
      <c r="D159" s="211"/>
      <c r="E159" s="211"/>
      <c r="F159" s="211"/>
      <c r="G159" s="211"/>
      <c r="H159" s="211"/>
      <c r="I159" s="211"/>
      <c r="J159" s="211"/>
      <c r="K159" s="211"/>
      <c r="L159" s="211"/>
      <c r="M159" s="211"/>
      <c r="N159" s="211"/>
      <c r="R159" s="20"/>
    </row>
    <row r="160" spans="1:18">
      <c r="A160" s="133"/>
      <c r="B160" s="163"/>
      <c r="C160" s="163"/>
      <c r="D160" s="211"/>
      <c r="E160" s="211"/>
      <c r="F160" s="211"/>
      <c r="G160" s="211"/>
      <c r="H160" s="211"/>
      <c r="I160" s="211"/>
      <c r="J160" s="211">
        <f>E160-D160</f>
        <v>0</v>
      </c>
      <c r="K160" s="211"/>
      <c r="L160" s="211"/>
      <c r="M160" s="211"/>
      <c r="N160" s="211"/>
      <c r="R160" s="20"/>
    </row>
    <row r="161" spans="1:18">
      <c r="A161" s="133"/>
      <c r="B161" s="163"/>
      <c r="C161" s="163"/>
      <c r="D161" s="211"/>
      <c r="E161" s="211"/>
      <c r="F161" s="211"/>
      <c r="G161" s="211"/>
      <c r="H161" s="211"/>
      <c r="I161" s="211"/>
      <c r="J161" s="211"/>
      <c r="K161" s="211"/>
      <c r="L161" s="211"/>
      <c r="M161" s="211"/>
      <c r="N161" s="211"/>
      <c r="R161" s="20"/>
    </row>
    <row r="162" spans="1:18">
      <c r="A162" s="133"/>
      <c r="B162" s="163"/>
      <c r="C162" s="163"/>
      <c r="D162" s="211"/>
      <c r="E162" s="211"/>
      <c r="F162" s="211"/>
      <c r="G162" s="211"/>
      <c r="H162" s="211"/>
      <c r="I162" s="211"/>
      <c r="J162" s="211"/>
      <c r="K162" s="211"/>
      <c r="L162" s="211"/>
      <c r="M162" s="211"/>
      <c r="N162" s="211"/>
      <c r="R162" s="20"/>
    </row>
    <row r="163" spans="1:18">
      <c r="A163" s="133"/>
      <c r="B163" s="163"/>
      <c r="C163" s="163"/>
      <c r="D163" s="211"/>
      <c r="E163" s="211"/>
      <c r="F163" s="211"/>
      <c r="G163" s="211"/>
      <c r="H163" s="211"/>
      <c r="I163" s="211"/>
      <c r="J163" s="211"/>
      <c r="K163" s="211"/>
      <c r="L163" s="211"/>
      <c r="M163" s="211"/>
      <c r="N163" s="211"/>
      <c r="R163" s="20"/>
    </row>
    <row r="164" spans="1:18">
      <c r="A164" s="133"/>
      <c r="B164" s="163"/>
      <c r="C164" s="163"/>
      <c r="D164" s="212"/>
      <c r="E164" s="212"/>
      <c r="F164" s="212"/>
      <c r="G164" s="212"/>
      <c r="H164" s="212"/>
      <c r="I164" s="212"/>
      <c r="J164" s="212"/>
      <c r="K164" s="212"/>
      <c r="L164" s="212"/>
      <c r="M164" s="212"/>
      <c r="N164" s="212"/>
      <c r="R164" s="20"/>
    </row>
    <row r="165" spans="1:18">
      <c r="A165" s="133"/>
      <c r="B165" s="163"/>
      <c r="C165" s="163"/>
      <c r="D165" s="211"/>
      <c r="E165" s="211"/>
      <c r="F165" s="211"/>
      <c r="G165" s="211"/>
      <c r="H165" s="211"/>
      <c r="I165" s="211"/>
      <c r="J165" s="211"/>
      <c r="K165" s="211"/>
      <c r="L165" s="211"/>
      <c r="M165" s="211"/>
      <c r="N165" s="211"/>
      <c r="R165" s="20"/>
    </row>
    <row r="166" spans="1:18">
      <c r="A166" s="133"/>
      <c r="B166" s="163"/>
      <c r="C166" s="163"/>
      <c r="D166" s="210"/>
      <c r="E166" s="210"/>
      <c r="F166" s="210"/>
      <c r="G166" s="210"/>
      <c r="H166" s="210"/>
      <c r="I166" s="210"/>
      <c r="J166" s="210"/>
      <c r="K166" s="210"/>
      <c r="L166" s="210"/>
      <c r="M166" s="210"/>
      <c r="N166" s="210"/>
    </row>
    <row r="167" spans="1:18">
      <c r="B167" s="126"/>
      <c r="C167" s="126"/>
    </row>
    <row r="169" spans="1:18">
      <c r="A169" s="12"/>
      <c r="B169" s="124"/>
      <c r="C169" s="124"/>
      <c r="D169" s="124"/>
      <c r="E169" s="124"/>
      <c r="F169" s="124"/>
      <c r="G169" s="124"/>
      <c r="H169" s="124"/>
      <c r="I169" s="124"/>
      <c r="J169" s="124"/>
      <c r="K169" s="124"/>
      <c r="L169" s="124"/>
      <c r="M169" s="124"/>
      <c r="N169" s="124"/>
    </row>
    <row r="170" spans="1:18">
      <c r="B170" s="30"/>
      <c r="C170" s="30"/>
      <c r="N170" s="30"/>
    </row>
    <row r="171" spans="1:18">
      <c r="A171" s="208"/>
      <c r="B171" s="121"/>
      <c r="C171" s="121"/>
      <c r="D171" s="124"/>
      <c r="E171" s="124"/>
      <c r="F171" s="124"/>
      <c r="G171" s="124"/>
      <c r="H171" s="124"/>
      <c r="I171" s="124"/>
      <c r="J171" s="124"/>
      <c r="K171" s="124"/>
      <c r="L171" s="124"/>
      <c r="M171" s="124"/>
      <c r="N171" s="121"/>
    </row>
    <row r="172" spans="1:18">
      <c r="A172" s="133"/>
      <c r="B172" s="163"/>
      <c r="C172" s="163"/>
      <c r="D172" s="213"/>
      <c r="E172" s="213"/>
      <c r="F172" s="213"/>
      <c r="G172" s="213"/>
      <c r="H172" s="213"/>
      <c r="I172" s="213"/>
      <c r="J172" s="213"/>
      <c r="K172" s="213"/>
      <c r="L172" s="213"/>
      <c r="M172" s="213"/>
      <c r="N172" s="213"/>
    </row>
    <row r="173" spans="1:18">
      <c r="A173" s="133"/>
      <c r="B173" s="163"/>
      <c r="C173" s="163"/>
      <c r="D173" s="213"/>
      <c r="E173" s="213"/>
      <c r="F173" s="213"/>
      <c r="G173" s="213"/>
      <c r="H173" s="213"/>
      <c r="I173" s="213"/>
      <c r="J173" s="213"/>
      <c r="K173" s="213"/>
      <c r="L173" s="213"/>
      <c r="M173" s="213"/>
      <c r="N173" s="213"/>
    </row>
    <row r="174" spans="1:18">
      <c r="A174" s="133"/>
      <c r="B174" s="163"/>
      <c r="C174" s="163"/>
      <c r="D174" s="213"/>
      <c r="E174" s="213"/>
      <c r="F174" s="213"/>
      <c r="G174" s="213"/>
      <c r="H174" s="213"/>
      <c r="I174" s="213"/>
      <c r="J174" s="213"/>
      <c r="K174" s="213"/>
      <c r="L174" s="213"/>
      <c r="M174" s="213"/>
      <c r="N174" s="213"/>
    </row>
    <row r="175" spans="1:18">
      <c r="A175" s="133"/>
      <c r="B175" s="163"/>
      <c r="C175" s="163"/>
      <c r="D175" s="213"/>
      <c r="E175" s="213"/>
      <c r="F175" s="213"/>
      <c r="G175" s="213"/>
      <c r="H175" s="213"/>
      <c r="I175" s="213"/>
      <c r="J175" s="213"/>
      <c r="K175" s="213"/>
      <c r="L175" s="213"/>
      <c r="M175" s="213"/>
      <c r="N175" s="213"/>
    </row>
    <row r="176" spans="1:18">
      <c r="A176" s="133"/>
      <c r="B176" s="163"/>
      <c r="C176" s="163"/>
      <c r="D176" s="213"/>
      <c r="E176" s="213"/>
      <c r="F176" s="213"/>
      <c r="G176" s="213"/>
      <c r="H176" s="213"/>
      <c r="I176" s="213"/>
      <c r="J176" s="213"/>
      <c r="K176" s="213"/>
      <c r="L176" s="213"/>
      <c r="M176" s="213"/>
      <c r="N176" s="213"/>
    </row>
    <row r="177" spans="1:19">
      <c r="A177" s="133"/>
      <c r="B177" s="163"/>
      <c r="C177" s="163"/>
      <c r="D177" s="213"/>
      <c r="E177" s="213"/>
      <c r="F177" s="213"/>
      <c r="G177" s="213"/>
      <c r="H177" s="213"/>
      <c r="I177" s="213"/>
      <c r="J177" s="213"/>
      <c r="K177" s="213"/>
      <c r="L177" s="213"/>
      <c r="M177" s="213"/>
      <c r="N177" s="213"/>
    </row>
    <row r="178" spans="1:19">
      <c r="A178" s="133"/>
      <c r="B178" s="163"/>
      <c r="C178" s="163"/>
      <c r="D178" s="213"/>
      <c r="E178" s="213"/>
      <c r="F178" s="213"/>
      <c r="G178" s="213"/>
      <c r="H178" s="213"/>
      <c r="I178" s="213"/>
      <c r="J178" s="213"/>
      <c r="K178" s="213"/>
      <c r="L178" s="213"/>
      <c r="M178" s="213"/>
      <c r="N178" s="213"/>
    </row>
    <row r="179" spans="1:19">
      <c r="A179" s="133"/>
      <c r="B179" s="163"/>
      <c r="C179" s="163"/>
      <c r="D179" s="213"/>
      <c r="E179" s="213"/>
      <c r="F179" s="213"/>
      <c r="G179" s="213"/>
      <c r="H179" s="213"/>
      <c r="I179" s="213"/>
      <c r="J179" s="213"/>
      <c r="K179" s="213"/>
      <c r="L179" s="213"/>
      <c r="M179" s="213"/>
      <c r="N179" s="213"/>
    </row>
    <row r="180" spans="1:19">
      <c r="A180" s="133"/>
      <c r="B180" s="163"/>
      <c r="C180" s="163"/>
      <c r="D180" s="213"/>
      <c r="E180" s="213"/>
      <c r="F180" s="213"/>
      <c r="G180" s="213"/>
      <c r="H180" s="213"/>
      <c r="I180" s="213"/>
      <c r="J180" s="213"/>
      <c r="K180" s="213"/>
      <c r="L180" s="213"/>
      <c r="M180" s="213"/>
      <c r="N180" s="213"/>
    </row>
    <row r="181" spans="1:19">
      <c r="A181" s="133"/>
      <c r="B181" s="163"/>
      <c r="C181" s="163"/>
      <c r="D181" s="213"/>
      <c r="E181" s="213"/>
      <c r="F181" s="213"/>
      <c r="G181" s="213"/>
      <c r="H181" s="213"/>
      <c r="I181" s="213"/>
      <c r="J181" s="213"/>
      <c r="K181" s="213"/>
      <c r="L181" s="213"/>
      <c r="M181" s="213"/>
      <c r="N181" s="213"/>
    </row>
    <row r="182" spans="1:19" s="17" customFormat="1">
      <c r="A182" s="133"/>
      <c r="B182" s="163"/>
      <c r="C182" s="163"/>
      <c r="D182" s="213"/>
      <c r="E182" s="213"/>
      <c r="F182" s="213"/>
      <c r="G182" s="213"/>
      <c r="H182" s="213"/>
      <c r="I182" s="213"/>
      <c r="J182" s="213"/>
      <c r="K182" s="213"/>
      <c r="L182" s="213"/>
      <c r="M182" s="213"/>
      <c r="N182" s="213"/>
      <c r="O182"/>
      <c r="P182"/>
      <c r="Q182"/>
      <c r="R182"/>
      <c r="S182"/>
    </row>
    <row r="183" spans="1:19" s="17" customFormat="1">
      <c r="A183" s="133"/>
      <c r="B183" s="163"/>
      <c r="C183" s="163"/>
      <c r="D183" s="214"/>
      <c r="E183" s="214"/>
      <c r="F183" s="214"/>
      <c r="G183" s="214"/>
      <c r="H183" s="214"/>
      <c r="I183" s="214"/>
      <c r="J183" s="214"/>
      <c r="K183" s="214"/>
      <c r="L183" s="214"/>
      <c r="M183" s="214"/>
      <c r="N183" s="214"/>
      <c r="O183"/>
      <c r="P183"/>
      <c r="Q183"/>
      <c r="R183"/>
      <c r="S183"/>
    </row>
    <row r="184" spans="1:19" s="17" customFormat="1">
      <c r="A184" s="133"/>
      <c r="B184" s="163"/>
      <c r="C184" s="163"/>
      <c r="D184" s="213"/>
      <c r="E184" s="213"/>
      <c r="F184" s="213"/>
      <c r="G184" s="213"/>
      <c r="H184" s="213"/>
      <c r="I184" s="213"/>
      <c r="J184" s="213"/>
      <c r="K184" s="213"/>
      <c r="L184" s="213"/>
      <c r="M184" s="213"/>
      <c r="N184" s="213"/>
      <c r="O184"/>
      <c r="P184"/>
      <c r="Q184"/>
      <c r="R184"/>
    </row>
    <row r="185" spans="1:19" s="17" customFormat="1">
      <c r="A185" s="133"/>
      <c r="B185" s="163"/>
      <c r="C185" s="163"/>
      <c r="D185" s="210"/>
      <c r="E185" s="210"/>
      <c r="F185" s="210"/>
      <c r="G185" s="210"/>
      <c r="H185" s="210"/>
      <c r="I185" s="210"/>
      <c r="J185" s="210"/>
      <c r="K185" s="210"/>
      <c r="L185" s="210"/>
      <c r="M185" s="210"/>
      <c r="N185" s="210"/>
      <c r="O185"/>
      <c r="P185"/>
      <c r="Q185"/>
      <c r="R185"/>
    </row>
    <row r="186" spans="1:19" s="17" customFormat="1">
      <c r="B186" s="144"/>
      <c r="C186" s="144"/>
      <c r="N186" s="210"/>
    </row>
    <row r="187" spans="1:19" s="17" customFormat="1">
      <c r="N187" s="210"/>
    </row>
    <row r="188" spans="1:19" s="17" customFormat="1">
      <c r="B188" s="133"/>
      <c r="C188" s="133"/>
      <c r="D188" s="125"/>
      <c r="E188" s="125"/>
      <c r="F188" s="125"/>
      <c r="G188" s="125"/>
      <c r="H188" s="125"/>
      <c r="I188" s="125"/>
      <c r="J188" s="125"/>
      <c r="K188" s="125"/>
      <c r="L188" s="125"/>
      <c r="M188" s="125"/>
      <c r="N188" s="210"/>
    </row>
    <row r="189" spans="1:19" s="17" customFormat="1">
      <c r="A189" s="133"/>
      <c r="B189" s="163"/>
      <c r="C189" s="163"/>
      <c r="D189" s="215"/>
      <c r="E189" s="215"/>
      <c r="F189" s="215"/>
      <c r="G189" s="215"/>
      <c r="H189" s="215"/>
      <c r="I189" s="215"/>
      <c r="J189" s="215"/>
      <c r="K189" s="215"/>
      <c r="L189" s="215"/>
      <c r="M189" s="215"/>
      <c r="N189" s="210"/>
    </row>
    <row r="190" spans="1:19" s="17" customFormat="1">
      <c r="A190" s="133"/>
      <c r="B190" s="163"/>
      <c r="C190" s="163"/>
      <c r="D190" s="215"/>
      <c r="E190" s="215"/>
      <c r="F190" s="215"/>
      <c r="G190" s="215"/>
      <c r="H190" s="215"/>
      <c r="I190" s="215"/>
      <c r="J190" s="215"/>
      <c r="K190" s="215"/>
      <c r="L190" s="215"/>
      <c r="M190" s="215"/>
      <c r="N190" s="210"/>
    </row>
    <row r="191" spans="1:19" s="17" customFormat="1">
      <c r="A191" s="133"/>
      <c r="B191" s="163"/>
      <c r="C191" s="163"/>
      <c r="D191" s="215"/>
      <c r="E191" s="215"/>
      <c r="F191" s="215"/>
      <c r="G191" s="215"/>
      <c r="H191" s="215"/>
      <c r="I191" s="215"/>
      <c r="J191" s="215"/>
      <c r="K191" s="215"/>
      <c r="L191" s="215"/>
      <c r="M191" s="215"/>
      <c r="N191" s="210"/>
    </row>
    <row r="192" spans="1:19" s="17" customFormat="1">
      <c r="A192" s="133"/>
      <c r="B192" s="163"/>
      <c r="C192" s="163"/>
      <c r="D192" s="215"/>
      <c r="E192" s="215"/>
      <c r="F192" s="215"/>
      <c r="G192" s="215"/>
      <c r="H192" s="215"/>
      <c r="I192" s="215"/>
      <c r="J192" s="215"/>
      <c r="K192" s="215"/>
      <c r="L192" s="215"/>
      <c r="M192" s="215"/>
      <c r="N192" s="210"/>
    </row>
    <row r="193" spans="1:19" s="17" customFormat="1">
      <c r="A193" s="133"/>
      <c r="B193" s="163"/>
      <c r="C193" s="163"/>
      <c r="D193" s="215"/>
      <c r="E193" s="215"/>
      <c r="F193" s="215"/>
      <c r="G193" s="215"/>
      <c r="H193" s="215"/>
      <c r="I193" s="215"/>
      <c r="J193" s="215"/>
      <c r="K193" s="215"/>
      <c r="L193" s="215"/>
      <c r="M193" s="215"/>
      <c r="N193" s="210"/>
    </row>
    <row r="194" spans="1:19" s="17" customFormat="1">
      <c r="A194" s="133"/>
      <c r="B194" s="163"/>
      <c r="C194" s="163"/>
      <c r="D194" s="215"/>
      <c r="E194" s="215"/>
      <c r="F194" s="215"/>
      <c r="G194" s="215"/>
      <c r="H194" s="215"/>
      <c r="I194" s="215"/>
      <c r="J194" s="215"/>
      <c r="K194" s="215"/>
      <c r="L194" s="215"/>
      <c r="M194" s="215"/>
      <c r="N194" s="210"/>
    </row>
    <row r="195" spans="1:19" s="17" customFormat="1">
      <c r="A195" s="133"/>
      <c r="B195" s="163"/>
      <c r="C195" s="163"/>
      <c r="D195" s="215"/>
      <c r="E195" s="215"/>
      <c r="F195" s="215"/>
      <c r="G195" s="215"/>
      <c r="H195" s="215"/>
      <c r="I195" s="215"/>
      <c r="J195" s="215"/>
      <c r="K195" s="215"/>
      <c r="L195" s="215"/>
      <c r="M195" s="215"/>
      <c r="N195" s="210"/>
    </row>
    <row r="196" spans="1:19" s="17" customFormat="1">
      <c r="A196" s="133"/>
      <c r="B196" s="163"/>
      <c r="C196" s="163"/>
      <c r="D196" s="215"/>
      <c r="E196" s="215"/>
      <c r="F196" s="215"/>
      <c r="G196" s="215"/>
      <c r="H196" s="215"/>
      <c r="I196" s="215"/>
      <c r="J196" s="215"/>
      <c r="K196" s="215"/>
      <c r="L196" s="215"/>
      <c r="M196" s="215"/>
      <c r="N196" s="210"/>
    </row>
    <row r="197" spans="1:19">
      <c r="A197" s="133"/>
      <c r="B197" s="163"/>
      <c r="C197" s="163"/>
      <c r="D197" s="215"/>
      <c r="E197" s="215"/>
      <c r="F197" s="215"/>
      <c r="G197" s="215"/>
      <c r="H197" s="215"/>
      <c r="I197" s="215"/>
      <c r="J197" s="215"/>
      <c r="K197" s="215"/>
      <c r="L197" s="215"/>
      <c r="M197" s="215"/>
      <c r="N197" s="210"/>
      <c r="O197" s="17"/>
      <c r="P197" s="17"/>
      <c r="Q197" s="17"/>
      <c r="R197" s="17"/>
      <c r="S197" s="17"/>
    </row>
    <row r="198" spans="1:19">
      <c r="A198" s="133"/>
      <c r="B198" s="163"/>
      <c r="C198" s="163"/>
      <c r="D198" s="215"/>
      <c r="E198" s="215"/>
      <c r="F198" s="215"/>
      <c r="G198" s="215"/>
      <c r="H198" s="215"/>
      <c r="I198" s="215"/>
      <c r="J198" s="215"/>
      <c r="K198" s="215"/>
      <c r="L198" s="215"/>
      <c r="M198" s="215"/>
      <c r="N198" s="210"/>
      <c r="O198" s="17"/>
      <c r="P198" s="17"/>
      <c r="Q198" s="17"/>
      <c r="R198" s="17"/>
      <c r="S198" s="17"/>
    </row>
    <row r="199" spans="1:19">
      <c r="A199" s="133"/>
      <c r="B199" s="163"/>
      <c r="C199" s="163"/>
      <c r="D199" s="215"/>
      <c r="E199" s="215"/>
      <c r="F199" s="215"/>
      <c r="G199" s="215"/>
      <c r="H199" s="215"/>
      <c r="I199" s="215"/>
      <c r="J199" s="215"/>
      <c r="K199" s="215"/>
      <c r="L199" s="215"/>
      <c r="M199" s="215"/>
      <c r="N199" s="210"/>
      <c r="O199" s="17"/>
      <c r="P199" s="17"/>
      <c r="Q199" s="17"/>
      <c r="R199" s="17"/>
    </row>
    <row r="200" spans="1:19">
      <c r="A200" s="133"/>
      <c r="B200" s="163"/>
      <c r="C200" s="163"/>
      <c r="D200" s="215"/>
      <c r="E200" s="215"/>
      <c r="F200" s="215"/>
      <c r="G200" s="215"/>
      <c r="H200" s="215"/>
      <c r="I200" s="215"/>
      <c r="J200" s="215"/>
      <c r="K200" s="215"/>
      <c r="L200" s="215"/>
      <c r="M200" s="215"/>
      <c r="N200" s="210"/>
      <c r="O200" s="17"/>
      <c r="P200" s="17"/>
      <c r="Q200" s="17"/>
      <c r="R200" s="17"/>
    </row>
    <row r="202" spans="1:19">
      <c r="B202" s="144"/>
      <c r="C202" s="144"/>
    </row>
    <row r="203" spans="1:19">
      <c r="B203" s="18"/>
      <c r="C203" s="18"/>
    </row>
    <row r="204" spans="1:19">
      <c r="B204" s="35"/>
      <c r="C204" s="35"/>
      <c r="D204" s="124"/>
      <c r="E204" s="124"/>
      <c r="F204" s="124"/>
      <c r="G204" s="124"/>
      <c r="H204" s="124"/>
      <c r="I204" s="124"/>
      <c r="J204" s="124"/>
      <c r="K204" s="124"/>
      <c r="L204" s="124"/>
      <c r="M204" s="124"/>
      <c r="N204" s="121"/>
    </row>
    <row r="205" spans="1:19">
      <c r="A205" s="133"/>
      <c r="B205" s="35"/>
      <c r="C205" s="35"/>
      <c r="D205" s="20"/>
      <c r="E205" s="20"/>
      <c r="F205" s="20"/>
      <c r="G205" s="20"/>
      <c r="H205" s="20"/>
      <c r="I205" s="20"/>
      <c r="J205" s="20"/>
      <c r="K205" s="20"/>
      <c r="L205" s="20"/>
      <c r="M205" s="20"/>
      <c r="N205" s="20"/>
    </row>
    <row r="206" spans="1:19">
      <c r="B206" s="35"/>
      <c r="C206" s="35"/>
      <c r="D206" s="20"/>
      <c r="E206" s="20"/>
      <c r="F206" s="20"/>
      <c r="G206" s="20"/>
      <c r="H206" s="20"/>
      <c r="I206" s="20"/>
      <c r="J206" s="20"/>
      <c r="K206" s="20"/>
      <c r="L206" s="20"/>
      <c r="M206" s="20"/>
      <c r="N206" s="20"/>
    </row>
    <row r="207" spans="1:19">
      <c r="B207" s="18"/>
      <c r="C207" s="18"/>
      <c r="D207" s="20"/>
      <c r="E207" s="20"/>
      <c r="F207" s="20"/>
      <c r="G207" s="20"/>
      <c r="H207" s="20"/>
      <c r="I207" s="20"/>
      <c r="J207" s="20"/>
      <c r="K207" s="20"/>
      <c r="L207" s="20"/>
      <c r="M207" s="20"/>
      <c r="N207" s="20"/>
    </row>
    <row r="208" spans="1:19">
      <c r="B208" s="35"/>
      <c r="C208" s="35"/>
      <c r="D208" s="124"/>
      <c r="E208" s="124"/>
      <c r="F208" s="124"/>
      <c r="G208" s="124"/>
      <c r="H208" s="124"/>
      <c r="I208" s="124"/>
      <c r="J208" s="124"/>
      <c r="K208" s="124"/>
      <c r="L208" s="124"/>
      <c r="M208" s="124"/>
      <c r="N208" s="121"/>
    </row>
    <row r="209" spans="1:14">
      <c r="A209" s="133"/>
      <c r="B209" s="35"/>
      <c r="C209" s="35"/>
      <c r="D209" s="20"/>
      <c r="E209" s="20"/>
      <c r="F209" s="20"/>
      <c r="G209" s="20"/>
      <c r="H209" s="20"/>
      <c r="I209" s="20"/>
      <c r="J209" s="20"/>
      <c r="K209" s="20"/>
      <c r="L209" s="20"/>
      <c r="M209" s="20"/>
      <c r="N209" s="20"/>
    </row>
    <row r="210" spans="1:14">
      <c r="B210" s="35"/>
      <c r="C210" s="35"/>
      <c r="D210" s="20"/>
      <c r="E210" s="20"/>
      <c r="F210" s="20"/>
      <c r="G210" s="20"/>
      <c r="H210" s="20"/>
      <c r="I210" s="20"/>
      <c r="J210" s="20"/>
      <c r="K210" s="20"/>
      <c r="L210" s="20"/>
      <c r="M210" s="20"/>
      <c r="N210" s="20"/>
    </row>
    <row r="211" spans="1:14">
      <c r="B211" s="18"/>
      <c r="C211" s="18"/>
      <c r="D211" s="20"/>
      <c r="E211" s="20"/>
      <c r="F211" s="20"/>
      <c r="G211" s="20"/>
      <c r="H211" s="20"/>
      <c r="I211" s="20"/>
      <c r="J211" s="20"/>
      <c r="K211" s="20"/>
      <c r="L211" s="20"/>
      <c r="M211" s="20"/>
      <c r="N211" s="20"/>
    </row>
    <row r="212" spans="1:14">
      <c r="D212" s="124"/>
      <c r="E212" s="124"/>
      <c r="F212" s="124"/>
      <c r="G212" s="124"/>
      <c r="H212" s="124"/>
      <c r="I212" s="124"/>
      <c r="J212" s="124"/>
      <c r="K212" s="124"/>
      <c r="L212" s="124"/>
      <c r="M212" s="124"/>
      <c r="N212" s="121"/>
    </row>
    <row r="213" spans="1:14">
      <c r="A213" s="133"/>
      <c r="D213" s="20"/>
      <c r="E213" s="20"/>
      <c r="F213" s="20"/>
      <c r="G213" s="20"/>
      <c r="H213" s="20"/>
      <c r="I213" s="20"/>
      <c r="J213" s="20"/>
      <c r="K213" s="20"/>
      <c r="L213" s="20"/>
      <c r="M213" s="20"/>
      <c r="N213" s="20"/>
    </row>
    <row r="215" spans="1:14">
      <c r="B215" s="144"/>
      <c r="C215" s="144"/>
    </row>
    <row r="216" spans="1:14">
      <c r="A216" s="12"/>
      <c r="B216" s="124"/>
      <c r="C216" s="124"/>
      <c r="D216" s="124"/>
      <c r="E216" s="124"/>
      <c r="F216" s="124"/>
      <c r="G216" s="124"/>
      <c r="H216" s="124"/>
      <c r="I216" s="124"/>
      <c r="J216" s="124"/>
      <c r="K216" s="124"/>
      <c r="L216" s="124"/>
      <c r="M216" s="124"/>
      <c r="N216" s="124"/>
    </row>
    <row r="217" spans="1:14">
      <c r="B217" s="8"/>
      <c r="C217" s="8"/>
      <c r="G217" s="216"/>
      <c r="N217" s="30"/>
    </row>
    <row r="218" spans="1:14">
      <c r="B218" s="133"/>
      <c r="C218" s="133"/>
      <c r="D218" s="124"/>
      <c r="E218" s="124"/>
    </row>
    <row r="219" spans="1:14">
      <c r="A219" s="208"/>
      <c r="B219" s="121"/>
      <c r="C219" s="121"/>
      <c r="D219" s="124"/>
      <c r="E219" s="124"/>
      <c r="F219" s="124"/>
      <c r="G219" s="124"/>
      <c r="H219" s="124"/>
      <c r="I219" s="124"/>
      <c r="J219" s="124"/>
      <c r="K219" s="124"/>
      <c r="L219" s="124"/>
      <c r="M219" s="124"/>
      <c r="N219" s="121"/>
    </row>
    <row r="220" spans="1:14">
      <c r="A220" s="133"/>
      <c r="B220" s="163"/>
      <c r="C220" s="163"/>
      <c r="D220" s="166"/>
      <c r="E220" s="166"/>
      <c r="F220" s="166"/>
      <c r="G220" s="166"/>
      <c r="H220" s="166"/>
      <c r="I220" s="166"/>
      <c r="J220" s="166"/>
      <c r="K220" s="166"/>
      <c r="L220" s="166"/>
      <c r="M220" s="166"/>
      <c r="N220" s="166"/>
    </row>
    <row r="221" spans="1:14">
      <c r="A221" s="133"/>
      <c r="B221" s="163"/>
      <c r="C221" s="163"/>
      <c r="D221" s="166"/>
      <c r="E221" s="166"/>
      <c r="F221" s="166"/>
      <c r="G221" s="166"/>
      <c r="H221" s="166"/>
      <c r="I221" s="166"/>
      <c r="J221" s="166"/>
      <c r="K221" s="166"/>
      <c r="L221" s="166"/>
      <c r="M221" s="166"/>
      <c r="N221" s="166"/>
    </row>
    <row r="222" spans="1:14">
      <c r="A222" s="133"/>
      <c r="B222" s="163"/>
      <c r="C222" s="163"/>
      <c r="D222" s="166"/>
      <c r="E222" s="166"/>
      <c r="F222" s="166"/>
      <c r="G222" s="166"/>
      <c r="H222" s="166"/>
      <c r="I222" s="166"/>
      <c r="J222" s="166"/>
      <c r="K222" s="166"/>
      <c r="L222" s="166"/>
      <c r="M222" s="166"/>
      <c r="N222" s="166"/>
    </row>
    <row r="223" spans="1:14">
      <c r="A223" s="133"/>
      <c r="B223" s="163"/>
      <c r="C223" s="163"/>
      <c r="D223" s="166"/>
      <c r="E223" s="166"/>
      <c r="F223" s="166"/>
      <c r="G223" s="166"/>
      <c r="H223" s="166"/>
      <c r="I223" s="166"/>
      <c r="J223" s="166"/>
      <c r="K223" s="166"/>
      <c r="L223" s="166"/>
      <c r="M223" s="166"/>
      <c r="N223" s="166"/>
    </row>
    <row r="224" spans="1:14">
      <c r="A224" s="133"/>
      <c r="B224" s="163"/>
      <c r="C224" s="163"/>
      <c r="D224" s="166"/>
      <c r="E224" s="166"/>
      <c r="F224" s="166"/>
      <c r="G224" s="166"/>
      <c r="H224" s="166"/>
      <c r="I224" s="166"/>
      <c r="J224" s="166"/>
      <c r="K224" s="166"/>
      <c r="L224" s="166"/>
      <c r="M224" s="166"/>
      <c r="N224" s="166"/>
    </row>
    <row r="225" spans="1:19">
      <c r="A225" s="133"/>
      <c r="B225" s="163"/>
      <c r="C225" s="163"/>
      <c r="D225" s="166"/>
      <c r="E225" s="166"/>
      <c r="F225" s="166"/>
      <c r="G225" s="166"/>
      <c r="H225" s="166"/>
      <c r="I225" s="166"/>
      <c r="J225" s="166"/>
      <c r="K225" s="166"/>
      <c r="L225" s="166"/>
      <c r="M225" s="166"/>
      <c r="N225" s="166"/>
    </row>
    <row r="226" spans="1:19">
      <c r="A226" s="133"/>
      <c r="B226" s="163"/>
      <c r="C226" s="163"/>
      <c r="D226" s="166"/>
      <c r="E226" s="166"/>
      <c r="F226" s="166"/>
      <c r="G226" s="166"/>
      <c r="H226" s="166"/>
      <c r="I226" s="166"/>
      <c r="J226" s="166"/>
      <c r="K226" s="166"/>
      <c r="L226" s="166"/>
      <c r="M226" s="166"/>
      <c r="N226" s="166"/>
    </row>
    <row r="227" spans="1:19">
      <c r="A227" s="133"/>
      <c r="B227" s="163"/>
      <c r="C227" s="163"/>
      <c r="D227" s="166"/>
      <c r="E227" s="166"/>
      <c r="F227" s="166"/>
      <c r="G227" s="166"/>
      <c r="H227" s="166"/>
      <c r="I227" s="166"/>
      <c r="J227" s="166"/>
      <c r="K227" s="166"/>
      <c r="L227" s="166"/>
      <c r="M227" s="166"/>
      <c r="N227" s="166"/>
    </row>
    <row r="228" spans="1:19">
      <c r="A228" s="133"/>
      <c r="B228" s="163"/>
      <c r="C228" s="163"/>
      <c r="D228" s="166"/>
      <c r="E228" s="166"/>
      <c r="F228" s="166"/>
      <c r="G228" s="166"/>
      <c r="H228" s="166"/>
      <c r="I228" s="166"/>
      <c r="J228" s="166"/>
      <c r="K228" s="166"/>
      <c r="L228" s="166"/>
      <c r="M228" s="166"/>
      <c r="N228" s="166"/>
    </row>
    <row r="229" spans="1:19">
      <c r="A229" s="133"/>
      <c r="B229" s="163"/>
      <c r="C229" s="163"/>
      <c r="D229" s="166"/>
      <c r="E229" s="166"/>
      <c r="F229" s="166"/>
      <c r="G229" s="166"/>
      <c r="H229" s="166"/>
      <c r="I229" s="166"/>
      <c r="J229" s="166"/>
      <c r="K229" s="166"/>
      <c r="L229" s="166"/>
      <c r="M229" s="166"/>
      <c r="N229" s="166"/>
    </row>
    <row r="230" spans="1:19">
      <c r="A230" s="133"/>
      <c r="B230" s="163"/>
      <c r="C230" s="163"/>
      <c r="D230" s="166"/>
      <c r="E230" s="166"/>
      <c r="F230" s="166"/>
      <c r="G230" s="166"/>
      <c r="H230" s="166"/>
      <c r="I230" s="166"/>
      <c r="J230" s="166"/>
      <c r="K230" s="166"/>
      <c r="L230" s="166"/>
      <c r="M230" s="166"/>
      <c r="N230" s="166"/>
    </row>
    <row r="231" spans="1:19">
      <c r="A231" s="133"/>
      <c r="B231" s="163"/>
      <c r="C231" s="163"/>
      <c r="D231" s="217"/>
      <c r="E231" s="217"/>
      <c r="F231" s="217"/>
      <c r="G231" s="217"/>
      <c r="H231" s="217"/>
      <c r="I231" s="217"/>
      <c r="J231" s="217"/>
      <c r="K231" s="217"/>
      <c r="L231" s="217"/>
      <c r="M231" s="217"/>
      <c r="N231" s="217"/>
    </row>
    <row r="232" spans="1:19">
      <c r="A232" s="133"/>
      <c r="B232" s="163"/>
      <c r="C232" s="163"/>
      <c r="D232" s="20"/>
      <c r="E232" s="20"/>
      <c r="F232" s="20"/>
      <c r="G232" s="20"/>
      <c r="H232" s="20"/>
      <c r="I232" s="20"/>
      <c r="J232" s="20"/>
      <c r="K232" s="20"/>
      <c r="L232" s="20"/>
      <c r="M232" s="20"/>
      <c r="N232" s="166"/>
    </row>
    <row r="234" spans="1:19">
      <c r="B234" s="16"/>
      <c r="C234" s="16"/>
      <c r="S234" s="17"/>
    </row>
    <row r="235" spans="1:19">
      <c r="B235" s="17"/>
      <c r="C235" s="17"/>
    </row>
    <row r="236" spans="1:19">
      <c r="B236" s="218"/>
      <c r="C236" s="218"/>
      <c r="D236" s="17"/>
      <c r="E236" s="17"/>
      <c r="F236" s="17"/>
      <c r="G236" s="17"/>
      <c r="H236" s="17"/>
      <c r="I236" s="17"/>
      <c r="K236" s="17"/>
      <c r="L236" s="17"/>
      <c r="M236" s="17"/>
      <c r="N236" s="17"/>
      <c r="O236" s="17"/>
      <c r="P236" s="17"/>
      <c r="Q236" s="17"/>
      <c r="R236" s="17"/>
    </row>
    <row r="238" spans="1:19">
      <c r="B238" s="18"/>
      <c r="C238" s="18"/>
    </row>
    <row r="239" spans="1:19">
      <c r="B239" s="18"/>
      <c r="C239" s="18"/>
    </row>
    <row r="240" spans="1:19">
      <c r="B240" s="35"/>
      <c r="C240" s="35"/>
    </row>
    <row r="241" spans="2:3">
      <c r="B241" s="17"/>
      <c r="C241" s="17"/>
    </row>
    <row r="242" spans="2:3">
      <c r="B242" s="18"/>
      <c r="C242" s="18"/>
    </row>
    <row r="243" spans="2:3">
      <c r="B243" s="18"/>
      <c r="C243" s="18"/>
    </row>
    <row r="244" spans="2:3">
      <c r="B244" s="18"/>
      <c r="C244" s="18"/>
    </row>
    <row r="245" spans="2:3">
      <c r="B245" s="17"/>
      <c r="C245" s="17"/>
    </row>
    <row r="246" spans="2:3">
      <c r="B246" s="18"/>
      <c r="C246" s="18"/>
    </row>
    <row r="247" spans="2:3">
      <c r="B247" s="219"/>
      <c r="C247" s="219"/>
    </row>
    <row r="248" spans="2:3">
      <c r="B248" s="17"/>
      <c r="C248" s="17"/>
    </row>
    <row r="249" spans="2:3">
      <c r="B249" s="17"/>
      <c r="C249" s="17"/>
    </row>
    <row r="251" spans="2:3">
      <c r="B251" s="17"/>
      <c r="C251" s="17"/>
    </row>
    <row r="252" spans="2:3">
      <c r="B252" s="17"/>
      <c r="C252" s="17"/>
    </row>
    <row r="256" spans="2:3">
      <c r="B256" s="17"/>
      <c r="C256" s="17"/>
    </row>
    <row r="257" spans="2:3">
      <c r="B257" s="18"/>
      <c r="C257" s="18"/>
    </row>
    <row r="258" spans="2:3">
      <c r="B258" s="18"/>
      <c r="C258" s="18"/>
    </row>
  </sheetData>
  <mergeCells count="4">
    <mergeCell ref="B133:Q133"/>
    <mergeCell ref="B134:Q134"/>
    <mergeCell ref="B135:Q135"/>
    <mergeCell ref="B136:Q136"/>
  </mergeCells>
  <printOptions horizontalCentered="1"/>
  <pageMargins left="1" right="1" top="1" bottom="1" header="0.5" footer="0.5"/>
  <pageSetup scale="39"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rowBreaks count="2" manualBreakCount="2">
    <brk id="52" max="17" man="1"/>
    <brk id="117" max="17" man="1"/>
  </rowBreaks>
  <customProperties>
    <customPr name="_pios_id" r:id="rId2"/>
    <customPr name="EpmWorksheetKeyString_GUID" r:id="rId3"/>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160"/>
  <sheetViews>
    <sheetView tabSelected="1" view="pageBreakPreview" topLeftCell="A13" zoomScale="90" zoomScaleNormal="75" zoomScaleSheetLayoutView="90" zoomScalePageLayoutView="55" workbookViewId="0">
      <selection activeCell="E174" sqref="E174"/>
    </sheetView>
  </sheetViews>
  <sheetFormatPr defaultColWidth="8.81640625" defaultRowHeight="14.5"/>
  <cols>
    <col min="1" max="1" width="6.81640625" style="30" bestFit="1" customWidth="1"/>
    <col min="2" max="3" width="16.26953125" customWidth="1"/>
    <col min="4" max="9" width="17.26953125" customWidth="1"/>
    <col min="10" max="10" width="13.453125" customWidth="1"/>
    <col min="11" max="11" width="25.1796875" customWidth="1"/>
    <col min="12" max="15" width="17.26953125" customWidth="1"/>
    <col min="16" max="16" width="20" customWidth="1"/>
    <col min="17" max="17" width="6.81640625" bestFit="1" customWidth="1"/>
    <col min="18" max="18" width="8.81640625" customWidth="1"/>
  </cols>
  <sheetData>
    <row r="1" spans="1:17">
      <c r="B1" s="12" t="s">
        <v>34</v>
      </c>
      <c r="G1" s="145"/>
      <c r="I1" s="17"/>
      <c r="N1" s="15"/>
      <c r="O1" s="8"/>
      <c r="P1" s="15" t="str">
        <f>CONCATENATE("Prior Year: ",'1-BaseTRR'!$G$2)</f>
        <v>Prior Year: 2021</v>
      </c>
    </row>
    <row r="2" spans="1:17">
      <c r="B2" s="119" t="s">
        <v>131</v>
      </c>
      <c r="C2" s="50"/>
      <c r="I2" s="17"/>
      <c r="N2" s="15"/>
      <c r="O2" s="8"/>
    </row>
    <row r="3" spans="1:17">
      <c r="A3" s="8"/>
    </row>
    <row r="4" spans="1:17">
      <c r="B4" s="120" t="s">
        <v>842</v>
      </c>
      <c r="C4" s="146"/>
      <c r="D4" s="146"/>
      <c r="E4" s="146"/>
      <c r="F4" s="146"/>
      <c r="G4" s="146"/>
      <c r="H4" s="146"/>
      <c r="I4" s="220"/>
      <c r="J4" s="221"/>
      <c r="K4" s="146"/>
      <c r="L4" s="146"/>
      <c r="M4" s="55"/>
      <c r="N4" s="55"/>
      <c r="O4" s="55"/>
      <c r="P4" s="55"/>
    </row>
    <row r="5" spans="1:17">
      <c r="B5" t="s">
        <v>843</v>
      </c>
    </row>
    <row r="6" spans="1:17">
      <c r="B6" t="s">
        <v>844</v>
      </c>
    </row>
    <row r="8" spans="1:17">
      <c r="A8" s="133"/>
      <c r="C8" s="124" t="s">
        <v>371</v>
      </c>
      <c r="D8" s="124" t="s">
        <v>372</v>
      </c>
      <c r="E8" s="124" t="s">
        <v>373</v>
      </c>
      <c r="F8" s="124" t="s">
        <v>374</v>
      </c>
      <c r="G8" s="124" t="s">
        <v>375</v>
      </c>
      <c r="H8" s="124" t="s">
        <v>376</v>
      </c>
      <c r="I8" s="124" t="s">
        <v>377</v>
      </c>
      <c r="J8" s="124" t="s">
        <v>378</v>
      </c>
      <c r="K8" s="124" t="s">
        <v>409</v>
      </c>
      <c r="L8" s="124" t="s">
        <v>525</v>
      </c>
      <c r="M8" s="124" t="s">
        <v>526</v>
      </c>
      <c r="N8" s="124" t="s">
        <v>527</v>
      </c>
      <c r="O8" s="124" t="s">
        <v>528</v>
      </c>
      <c r="P8" s="124"/>
    </row>
    <row r="9" spans="1:17">
      <c r="A9" s="133"/>
      <c r="C9" s="27"/>
      <c r="D9" s="27"/>
      <c r="E9" s="27"/>
      <c r="F9" s="27"/>
      <c r="G9" s="27"/>
      <c r="H9" s="27"/>
      <c r="I9" s="27"/>
      <c r="J9" s="27"/>
      <c r="K9" s="27"/>
      <c r="L9" s="27"/>
      <c r="M9" s="27"/>
      <c r="N9" s="27"/>
      <c r="O9" s="156" t="s">
        <v>688</v>
      </c>
      <c r="P9" s="27"/>
    </row>
    <row r="10" spans="1:17">
      <c r="A10" s="133"/>
      <c r="C10" s="27"/>
      <c r="D10" s="27"/>
      <c r="E10" s="27"/>
      <c r="F10" s="27"/>
      <c r="G10" s="27"/>
      <c r="H10" s="27"/>
      <c r="I10" s="27"/>
      <c r="J10" s="27"/>
      <c r="K10" s="27"/>
      <c r="L10" s="27"/>
      <c r="M10" s="27"/>
      <c r="N10" s="27"/>
      <c r="O10" s="27"/>
      <c r="P10" s="27"/>
    </row>
    <row r="11" spans="1:17">
      <c r="B11" s="132" t="s">
        <v>689</v>
      </c>
      <c r="C11" s="125">
        <v>350.01</v>
      </c>
      <c r="D11" s="125">
        <v>350.02</v>
      </c>
      <c r="E11" s="125">
        <v>352.01</v>
      </c>
      <c r="F11" s="125">
        <v>352.02</v>
      </c>
      <c r="G11" s="125">
        <v>353.01</v>
      </c>
      <c r="H11" s="125">
        <v>353.02</v>
      </c>
      <c r="I11" s="125">
        <v>354</v>
      </c>
      <c r="J11" s="125">
        <v>355</v>
      </c>
      <c r="K11" s="125">
        <v>356</v>
      </c>
      <c r="L11" s="125">
        <v>357</v>
      </c>
      <c r="M11" s="125">
        <v>358</v>
      </c>
      <c r="N11" s="125">
        <v>359</v>
      </c>
    </row>
    <row r="12" spans="1:17">
      <c r="A12" s="121" t="s">
        <v>100</v>
      </c>
      <c r="B12" s="121" t="s">
        <v>770</v>
      </c>
      <c r="C12" s="124" t="s">
        <v>690</v>
      </c>
      <c r="D12" s="124" t="s">
        <v>691</v>
      </c>
      <c r="E12" s="124" t="s">
        <v>692</v>
      </c>
      <c r="F12" s="124" t="s">
        <v>693</v>
      </c>
      <c r="G12" s="124" t="s">
        <v>694</v>
      </c>
      <c r="H12" s="124" t="s">
        <v>695</v>
      </c>
      <c r="I12" s="124" t="s">
        <v>696</v>
      </c>
      <c r="J12" s="124" t="s">
        <v>697</v>
      </c>
      <c r="K12" s="124" t="s">
        <v>698</v>
      </c>
      <c r="L12" s="124" t="s">
        <v>699</v>
      </c>
      <c r="M12" s="124" t="s">
        <v>700</v>
      </c>
      <c r="N12" s="124" t="s">
        <v>701</v>
      </c>
      <c r="O12" s="124" t="s">
        <v>465</v>
      </c>
      <c r="P12" s="124"/>
      <c r="Q12" s="121" t="str">
        <f>A12</f>
        <v>Line</v>
      </c>
    </row>
    <row r="13" spans="1:17">
      <c r="A13" s="133">
        <v>100</v>
      </c>
      <c r="B13" s="17" t="s">
        <v>715</v>
      </c>
      <c r="C13" s="482">
        <v>0</v>
      </c>
      <c r="D13" s="482">
        <v>1860639.3269553303</v>
      </c>
      <c r="E13" s="482">
        <v>2799275.8202379746</v>
      </c>
      <c r="F13" s="482">
        <v>595264.93464955443</v>
      </c>
      <c r="G13" s="482">
        <v>84931815.960986823</v>
      </c>
      <c r="H13" s="482">
        <v>44414.008661419903</v>
      </c>
      <c r="I13" s="482">
        <v>11984643.598527912</v>
      </c>
      <c r="J13" s="482">
        <v>4168592.995651674</v>
      </c>
      <c r="K13" s="482">
        <v>22264584.914173316</v>
      </c>
      <c r="L13" s="482">
        <v>5342038.0819587149</v>
      </c>
      <c r="M13" s="482">
        <v>2319545.8965628361</v>
      </c>
      <c r="N13" s="482">
        <v>1238076.9435859846</v>
      </c>
      <c r="O13" s="476">
        <f>SUM(C13:N13)</f>
        <v>137548892.48195153</v>
      </c>
      <c r="P13" s="222"/>
      <c r="Q13" s="133">
        <f>A13</f>
        <v>100</v>
      </c>
    </row>
    <row r="14" spans="1:17">
      <c r="A14" s="133">
        <f>+A13+1</f>
        <v>101</v>
      </c>
      <c r="B14" s="223" t="s">
        <v>716</v>
      </c>
      <c r="C14" s="475">
        <v>0</v>
      </c>
      <c r="D14" s="475">
        <v>2017396.9496927797</v>
      </c>
      <c r="E14" s="475">
        <v>3917595.4004332973</v>
      </c>
      <c r="F14" s="475">
        <v>1280618.1867817761</v>
      </c>
      <c r="G14" s="475">
        <v>142550213.90555453</v>
      </c>
      <c r="H14" s="475">
        <v>287119.86340596573</v>
      </c>
      <c r="I14" s="475">
        <v>11247595.973864675</v>
      </c>
      <c r="J14" s="475">
        <v>59058933.270722605</v>
      </c>
      <c r="K14" s="475">
        <v>38217379.934236042</v>
      </c>
      <c r="L14" s="475">
        <v>2535837.9503344628</v>
      </c>
      <c r="M14" s="475">
        <v>3265651.1119966563</v>
      </c>
      <c r="N14" s="475">
        <v>1677929.4060906076</v>
      </c>
      <c r="O14" s="563">
        <f>SUM(C14:N14)</f>
        <v>266056271.95311341</v>
      </c>
      <c r="P14" s="222"/>
      <c r="Q14" s="133">
        <f>A14</f>
        <v>101</v>
      </c>
    </row>
    <row r="15" spans="1:17">
      <c r="A15" s="133">
        <f>+A14+1</f>
        <v>102</v>
      </c>
      <c r="B15" s="144" t="s">
        <v>465</v>
      </c>
      <c r="C15" s="201">
        <f>SUM(C13:C14)</f>
        <v>0</v>
      </c>
      <c r="D15" s="201">
        <f t="shared" ref="D15:N15" si="0">SUM(D13:D14)</f>
        <v>3878036.2766481098</v>
      </c>
      <c r="E15" s="201">
        <f t="shared" si="0"/>
        <v>6716871.2206712719</v>
      </c>
      <c r="F15" s="201">
        <f t="shared" si="0"/>
        <v>1875883.1214313307</v>
      </c>
      <c r="G15" s="201">
        <f t="shared" si="0"/>
        <v>227482029.86654136</v>
      </c>
      <c r="H15" s="201">
        <f t="shared" si="0"/>
        <v>331533.87206738564</v>
      </c>
      <c r="I15" s="201">
        <f t="shared" si="0"/>
        <v>23232239.572392587</v>
      </c>
      <c r="J15" s="201">
        <f t="shared" si="0"/>
        <v>63227526.266374283</v>
      </c>
      <c r="K15" s="201">
        <f t="shared" si="0"/>
        <v>60481964.848409355</v>
      </c>
      <c r="L15" s="201">
        <f t="shared" si="0"/>
        <v>7877876.0322931781</v>
      </c>
      <c r="M15" s="201">
        <f t="shared" si="0"/>
        <v>5585197.0085594924</v>
      </c>
      <c r="N15" s="201">
        <f t="shared" si="0"/>
        <v>2916006.3496765923</v>
      </c>
      <c r="O15" s="466">
        <f>SUM(C15:N15)</f>
        <v>403605164.43506497</v>
      </c>
      <c r="P15" s="224"/>
      <c r="Q15" s="133">
        <f>A15</f>
        <v>102</v>
      </c>
    </row>
    <row r="16" spans="1:17">
      <c r="A16" s="27"/>
      <c r="B16" s="17"/>
      <c r="C16" s="17"/>
      <c r="D16" s="17"/>
      <c r="E16" s="17"/>
      <c r="F16" s="17"/>
      <c r="G16" s="17"/>
      <c r="H16" s="17"/>
      <c r="I16" s="17"/>
      <c r="J16" s="17"/>
      <c r="K16" s="17"/>
      <c r="L16" s="17"/>
      <c r="Q16" s="30"/>
    </row>
    <row r="17" spans="1:17">
      <c r="A17" s="27"/>
      <c r="B17" s="17"/>
      <c r="C17" s="17"/>
      <c r="D17" s="17"/>
      <c r="E17" s="17"/>
      <c r="F17" s="17"/>
      <c r="G17" s="17"/>
      <c r="H17" s="17"/>
      <c r="I17" s="17"/>
      <c r="J17" s="17"/>
      <c r="K17" s="17"/>
      <c r="L17" s="17"/>
      <c r="Q17" s="30"/>
    </row>
    <row r="18" spans="1:17">
      <c r="B18" s="58" t="s">
        <v>845</v>
      </c>
      <c r="C18" s="146"/>
      <c r="D18" s="146"/>
      <c r="E18" s="146"/>
      <c r="F18" s="146"/>
      <c r="G18" s="146"/>
      <c r="H18" s="146"/>
      <c r="I18" s="146"/>
      <c r="J18" s="146"/>
      <c r="K18" s="146"/>
      <c r="L18" s="146"/>
      <c r="M18" s="55"/>
      <c r="N18" s="55"/>
      <c r="O18" s="55"/>
      <c r="P18" s="55"/>
      <c r="Q18" s="30"/>
    </row>
    <row r="19" spans="1:17">
      <c r="B19" s="153" t="s">
        <v>846</v>
      </c>
    </row>
    <row r="21" spans="1:17">
      <c r="A21" s="27"/>
      <c r="B21" s="17"/>
      <c r="C21" s="124" t="s">
        <v>371</v>
      </c>
      <c r="D21" s="124" t="s">
        <v>372</v>
      </c>
      <c r="E21" s="124" t="s">
        <v>373</v>
      </c>
      <c r="F21" s="17"/>
      <c r="G21" s="17"/>
      <c r="H21" s="17"/>
      <c r="I21" s="17"/>
      <c r="J21" s="17"/>
      <c r="K21" s="17"/>
      <c r="L21" s="17"/>
      <c r="Q21" s="30"/>
    </row>
    <row r="22" spans="1:17">
      <c r="C22" s="142" t="s">
        <v>711</v>
      </c>
      <c r="D22" s="156" t="s">
        <v>111</v>
      </c>
      <c r="E22" s="156" t="s">
        <v>111</v>
      </c>
      <c r="F22" s="17"/>
      <c r="G22" s="17"/>
      <c r="H22" s="17"/>
      <c r="I22" s="17"/>
      <c r="J22" s="17"/>
      <c r="K22" s="17"/>
      <c r="L22" s="17"/>
      <c r="Q22" s="30"/>
    </row>
    <row r="23" spans="1:17">
      <c r="D23" s="30"/>
      <c r="E23" s="30"/>
      <c r="F23" s="17"/>
      <c r="G23" s="17"/>
      <c r="H23" s="17"/>
      <c r="I23" s="17"/>
      <c r="J23" s="17"/>
      <c r="K23" s="17"/>
      <c r="L23" s="17"/>
      <c r="Q23" s="30"/>
    </row>
    <row r="24" spans="1:17">
      <c r="A24" s="121" t="s">
        <v>100</v>
      </c>
      <c r="B24" s="121" t="s">
        <v>420</v>
      </c>
      <c r="C24" s="124" t="s">
        <v>826</v>
      </c>
      <c r="D24" s="124" t="s">
        <v>715</v>
      </c>
      <c r="E24" s="124" t="s">
        <v>716</v>
      </c>
      <c r="F24" s="17"/>
      <c r="G24" s="17"/>
      <c r="H24" s="17"/>
      <c r="I24" s="17"/>
      <c r="J24" s="17"/>
      <c r="K24" s="17"/>
      <c r="L24" s="17"/>
      <c r="Q24" s="121" t="str">
        <f>A24</f>
        <v>Line</v>
      </c>
    </row>
    <row r="25" spans="1:17">
      <c r="A25" s="133">
        <v>200</v>
      </c>
      <c r="B25" s="158">
        <f>'1-BaseTRR'!$G$2</f>
        <v>2021</v>
      </c>
      <c r="C25" s="32">
        <f>D25+E25</f>
        <v>68025653.669177383</v>
      </c>
      <c r="D25" s="471">
        <v>24116421.01904403</v>
      </c>
      <c r="E25" s="471">
        <v>43909232.650133349</v>
      </c>
      <c r="F25" s="17"/>
      <c r="G25" s="17"/>
      <c r="H25" s="17"/>
      <c r="I25" s="17"/>
      <c r="J25" s="17"/>
      <c r="K25" s="17"/>
      <c r="L25" s="17"/>
      <c r="Q25" s="133">
        <f>A25</f>
        <v>200</v>
      </c>
    </row>
    <row r="26" spans="1:17">
      <c r="A26" s="157"/>
      <c r="B26" s="20"/>
      <c r="C26" s="20"/>
      <c r="D26" s="20"/>
      <c r="E26" s="17"/>
      <c r="F26" s="17"/>
      <c r="G26" s="17"/>
      <c r="H26" s="17"/>
      <c r="I26" s="17"/>
      <c r="J26" s="17"/>
      <c r="K26" s="17"/>
      <c r="L26" s="17"/>
      <c r="Q26" s="30"/>
    </row>
    <row r="27" spans="1:17">
      <c r="A27" s="157"/>
      <c r="B27" s="20"/>
      <c r="C27" s="20"/>
      <c r="D27" s="20"/>
      <c r="E27" s="17"/>
      <c r="F27" s="17"/>
      <c r="G27" s="17"/>
      <c r="H27" s="17"/>
      <c r="I27" s="17"/>
      <c r="J27" s="17"/>
      <c r="K27" s="17"/>
      <c r="L27" s="17"/>
      <c r="Q27" s="30"/>
    </row>
    <row r="28" spans="1:17">
      <c r="B28" s="58" t="s">
        <v>847</v>
      </c>
      <c r="C28" s="146"/>
      <c r="D28" s="146"/>
      <c r="E28" s="146"/>
      <c r="F28" s="146"/>
      <c r="G28" s="146"/>
      <c r="H28" s="146"/>
      <c r="I28" s="146"/>
      <c r="J28" s="146"/>
      <c r="K28" s="146"/>
      <c r="L28" s="146"/>
      <c r="M28" s="55"/>
      <c r="N28" s="55"/>
      <c r="O28" s="55"/>
      <c r="P28" s="55"/>
      <c r="Q28" s="30"/>
    </row>
    <row r="29" spans="1:17">
      <c r="B29" s="153" t="s">
        <v>848</v>
      </c>
    </row>
    <row r="31" spans="1:17">
      <c r="B31" s="17"/>
      <c r="C31" s="124" t="s">
        <v>371</v>
      </c>
      <c r="D31" s="124" t="s">
        <v>372</v>
      </c>
      <c r="E31" s="124" t="s">
        <v>373</v>
      </c>
      <c r="F31" s="124" t="s">
        <v>374</v>
      </c>
      <c r="G31" s="124" t="s">
        <v>375</v>
      </c>
      <c r="H31" s="17"/>
      <c r="I31" s="17"/>
      <c r="J31" s="17"/>
      <c r="K31" s="17"/>
      <c r="L31" s="17"/>
      <c r="Q31" s="30"/>
    </row>
    <row r="32" spans="1:17" ht="29">
      <c r="A32" s="164"/>
      <c r="B32" s="225"/>
      <c r="C32" s="156" t="s">
        <v>203</v>
      </c>
      <c r="D32" s="156" t="s">
        <v>723</v>
      </c>
      <c r="E32" s="168" t="s">
        <v>724</v>
      </c>
      <c r="F32" s="156" t="s">
        <v>725</v>
      </c>
      <c r="G32" s="156" t="s">
        <v>726</v>
      </c>
      <c r="H32" s="226"/>
      <c r="I32" s="226"/>
      <c r="J32" s="226"/>
      <c r="K32" s="226"/>
      <c r="L32" s="226"/>
      <c r="M32" s="225"/>
      <c r="N32" s="225"/>
      <c r="O32" s="225"/>
      <c r="P32" s="225"/>
      <c r="Q32" s="30"/>
    </row>
    <row r="33" spans="1:17">
      <c r="D33" s="227"/>
      <c r="F33" s="227"/>
      <c r="G33" s="227"/>
      <c r="H33" s="17"/>
      <c r="I33" s="17"/>
      <c r="J33" s="17"/>
      <c r="K33" s="17"/>
      <c r="L33" s="17"/>
      <c r="Q33" s="30"/>
    </row>
    <row r="34" spans="1:17">
      <c r="F34" s="227"/>
      <c r="G34" s="227"/>
      <c r="H34" s="17"/>
      <c r="I34" s="17"/>
      <c r="J34" s="17"/>
      <c r="K34" s="17"/>
      <c r="L34" s="17"/>
      <c r="Q34" s="30"/>
    </row>
    <row r="35" spans="1:17">
      <c r="C35" s="125" t="s">
        <v>728</v>
      </c>
      <c r="D35" s="8" t="s">
        <v>727</v>
      </c>
      <c r="E35" s="8" t="s">
        <v>385</v>
      </c>
      <c r="H35" s="17"/>
      <c r="I35" s="17"/>
      <c r="J35" s="17"/>
      <c r="K35" s="17"/>
      <c r="L35" s="17"/>
      <c r="Q35" s="30"/>
    </row>
    <row r="36" spans="1:17">
      <c r="C36" s="8" t="s">
        <v>849</v>
      </c>
      <c r="D36" s="8" t="s">
        <v>385</v>
      </c>
      <c r="E36" s="8" t="s">
        <v>850</v>
      </c>
      <c r="F36" s="125" t="s">
        <v>715</v>
      </c>
      <c r="G36" s="125" t="s">
        <v>716</v>
      </c>
      <c r="H36" s="17"/>
      <c r="I36" s="17"/>
      <c r="J36" s="17"/>
      <c r="K36" s="17"/>
      <c r="L36" s="17"/>
      <c r="Q36" s="30"/>
    </row>
    <row r="37" spans="1:17">
      <c r="A37" s="121" t="s">
        <v>100</v>
      </c>
      <c r="B37" s="121" t="s">
        <v>420</v>
      </c>
      <c r="C37" s="169" t="s">
        <v>729</v>
      </c>
      <c r="D37" s="169" t="s">
        <v>730</v>
      </c>
      <c r="E37" s="169" t="s">
        <v>731</v>
      </c>
      <c r="F37" s="169" t="s">
        <v>731</v>
      </c>
      <c r="G37" s="169" t="s">
        <v>731</v>
      </c>
      <c r="H37" s="17"/>
      <c r="I37" s="17"/>
      <c r="J37" s="17"/>
      <c r="K37" s="17"/>
      <c r="L37" s="17"/>
      <c r="Q37" s="121" t="str">
        <f>A37</f>
        <v>Line</v>
      </c>
    </row>
    <row r="38" spans="1:17">
      <c r="A38" s="133">
        <v>300</v>
      </c>
      <c r="B38" s="158">
        <f>'1-BaseTRR'!$G$2</f>
        <v>2021</v>
      </c>
      <c r="C38" s="471">
        <v>247599424.99509788</v>
      </c>
      <c r="D38" s="216">
        <f>'24-Allocators'!$C$24</f>
        <v>0.10327848903946341</v>
      </c>
      <c r="E38" s="32">
        <f>+D38*C38</f>
        <v>25571694.500533659</v>
      </c>
      <c r="F38" s="483">
        <f>+E38*'24-Allocators'!$C$43</f>
        <v>9023129.3538181987</v>
      </c>
      <c r="G38" s="32">
        <f>+E38*'24-Allocators'!$C$44</f>
        <v>16548565.146715462</v>
      </c>
      <c r="H38" s="17"/>
      <c r="I38" s="17"/>
      <c r="J38" s="17"/>
      <c r="K38" s="17"/>
      <c r="L38" s="17"/>
      <c r="Q38" s="133">
        <f>A38</f>
        <v>300</v>
      </c>
    </row>
    <row r="39" spans="1:17">
      <c r="A39" s="133"/>
      <c r="B39" s="153"/>
      <c r="C39" s="166"/>
      <c r="D39" s="228"/>
      <c r="E39" s="20"/>
      <c r="F39" s="17"/>
      <c r="G39" s="17"/>
      <c r="H39" s="17"/>
      <c r="I39" s="17"/>
      <c r="J39" s="17"/>
      <c r="K39" s="17"/>
      <c r="L39" s="17"/>
      <c r="Q39" s="30"/>
    </row>
    <row r="40" spans="1:17">
      <c r="A40" s="133"/>
      <c r="B40" s="153"/>
      <c r="C40" s="166"/>
      <c r="D40" s="228"/>
      <c r="E40" s="20"/>
      <c r="F40" s="17"/>
      <c r="G40" s="17"/>
      <c r="H40" s="17"/>
      <c r="I40" s="17"/>
      <c r="J40" s="17"/>
      <c r="K40" s="17"/>
      <c r="L40" s="17"/>
      <c r="Q40" s="30"/>
    </row>
    <row r="41" spans="1:17">
      <c r="B41" s="58" t="s">
        <v>851</v>
      </c>
      <c r="C41" s="146"/>
      <c r="D41" s="146"/>
      <c r="E41" s="146"/>
      <c r="F41" s="146"/>
      <c r="G41" s="146"/>
      <c r="H41" s="146"/>
      <c r="I41" s="146"/>
      <c r="J41" s="146"/>
      <c r="K41" s="146"/>
      <c r="L41" s="146"/>
      <c r="M41" s="55"/>
      <c r="N41" s="55"/>
      <c r="O41" s="55"/>
      <c r="P41" s="55"/>
      <c r="Q41" s="30"/>
    </row>
    <row r="42" spans="1:17">
      <c r="B42" s="153" t="s">
        <v>852</v>
      </c>
    </row>
    <row r="44" spans="1:17">
      <c r="B44" s="17"/>
      <c r="C44" s="124" t="s">
        <v>371</v>
      </c>
      <c r="D44" s="124" t="s">
        <v>372</v>
      </c>
      <c r="E44" s="124" t="s">
        <v>373</v>
      </c>
      <c r="F44" s="124" t="s">
        <v>374</v>
      </c>
      <c r="G44" s="124" t="s">
        <v>375</v>
      </c>
      <c r="H44" s="17"/>
      <c r="I44" s="17"/>
      <c r="J44" s="17"/>
      <c r="K44" s="17"/>
      <c r="L44" s="17"/>
      <c r="Q44" s="30"/>
    </row>
    <row r="45" spans="1:17" ht="29">
      <c r="A45" s="164"/>
      <c r="B45" s="225"/>
      <c r="C45" s="156" t="s">
        <v>251</v>
      </c>
      <c r="D45" s="156" t="s">
        <v>737</v>
      </c>
      <c r="E45" s="168" t="s">
        <v>724</v>
      </c>
      <c r="F45" s="156" t="s">
        <v>725</v>
      </c>
      <c r="G45" s="156" t="s">
        <v>726</v>
      </c>
      <c r="H45" s="226"/>
      <c r="I45" s="226"/>
      <c r="J45" s="226"/>
      <c r="K45" s="226"/>
      <c r="L45" s="226"/>
      <c r="M45" s="225"/>
      <c r="N45" s="225"/>
      <c r="O45" s="225"/>
      <c r="P45" s="225"/>
      <c r="Q45" s="30"/>
    </row>
    <row r="46" spans="1:17">
      <c r="D46" s="227"/>
      <c r="E46" s="30"/>
      <c r="F46" s="227"/>
      <c r="G46" s="227"/>
      <c r="H46" s="17"/>
      <c r="I46" s="17"/>
      <c r="J46" s="17"/>
      <c r="K46" s="17"/>
      <c r="L46" s="17"/>
      <c r="Q46" s="30"/>
    </row>
    <row r="47" spans="1:17">
      <c r="H47" s="17"/>
      <c r="I47" s="17"/>
      <c r="J47" s="17"/>
      <c r="K47" s="17"/>
      <c r="L47" s="17"/>
      <c r="Q47" s="30"/>
    </row>
    <row r="48" spans="1:17">
      <c r="D48" s="8" t="s">
        <v>727</v>
      </c>
      <c r="E48" s="8" t="s">
        <v>385</v>
      </c>
      <c r="H48" s="17"/>
      <c r="I48" s="17"/>
      <c r="J48" s="17"/>
      <c r="K48" s="17"/>
      <c r="L48" s="17"/>
      <c r="Q48" s="30"/>
    </row>
    <row r="49" spans="1:18">
      <c r="C49" s="125" t="s">
        <v>853</v>
      </c>
      <c r="D49" s="8" t="s">
        <v>385</v>
      </c>
      <c r="E49" s="8" t="s">
        <v>850</v>
      </c>
      <c r="F49" s="125" t="s">
        <v>715</v>
      </c>
      <c r="G49" s="125" t="s">
        <v>716</v>
      </c>
      <c r="H49" s="17"/>
      <c r="I49" s="17"/>
      <c r="J49" s="17"/>
      <c r="K49" s="17"/>
      <c r="L49" s="17"/>
      <c r="Q49" s="30"/>
    </row>
    <row r="50" spans="1:18">
      <c r="A50" s="121" t="s">
        <v>100</v>
      </c>
      <c r="B50" s="121" t="s">
        <v>420</v>
      </c>
      <c r="C50" s="169" t="s">
        <v>729</v>
      </c>
      <c r="D50" s="169" t="s">
        <v>730</v>
      </c>
      <c r="E50" s="169" t="s">
        <v>854</v>
      </c>
      <c r="F50" s="169" t="s">
        <v>854</v>
      </c>
      <c r="G50" s="169" t="s">
        <v>854</v>
      </c>
      <c r="H50" s="17"/>
      <c r="I50" s="17"/>
      <c r="J50" s="17"/>
      <c r="K50" s="17"/>
      <c r="L50" s="17"/>
      <c r="Q50" s="121" t="str">
        <f>A50</f>
        <v>Line</v>
      </c>
    </row>
    <row r="51" spans="1:18">
      <c r="A51" s="133">
        <v>400</v>
      </c>
      <c r="B51" s="158">
        <f>'1-BaseTRR'!$G$2</f>
        <v>2021</v>
      </c>
      <c r="C51" s="471">
        <v>3679122.3953759712</v>
      </c>
      <c r="D51" s="31">
        <f>'24-Allocators'!$C$23</f>
        <v>0.14690087374748809</v>
      </c>
      <c r="E51" s="32">
        <f>+D51*C51</f>
        <v>540466.29450468149</v>
      </c>
      <c r="F51" s="484">
        <f>+E51*'24-Allocators'!$C$43</f>
        <v>190706.84919189735</v>
      </c>
      <c r="G51" s="32">
        <f>+E51*'24-Allocators'!$C$44</f>
        <v>349759.44531278417</v>
      </c>
      <c r="H51" s="17"/>
      <c r="I51" s="17"/>
      <c r="J51" s="17"/>
      <c r="K51" s="17"/>
      <c r="L51" s="17"/>
      <c r="Q51" s="133">
        <f>A51</f>
        <v>400</v>
      </c>
    </row>
    <row r="52" spans="1:18">
      <c r="A52" s="133"/>
      <c r="B52" s="153"/>
      <c r="C52" s="166"/>
      <c r="D52" s="228"/>
      <c r="E52" s="20"/>
      <c r="F52" s="17"/>
      <c r="G52" s="17"/>
      <c r="H52" s="17"/>
      <c r="I52" s="17"/>
      <c r="J52" s="17"/>
      <c r="K52" s="17"/>
      <c r="L52" s="17"/>
      <c r="Q52" s="30"/>
    </row>
    <row r="53" spans="1:18">
      <c r="A53" s="133"/>
      <c r="B53" s="153"/>
      <c r="C53" s="166"/>
      <c r="D53" s="228"/>
      <c r="E53" s="20"/>
      <c r="F53" s="17"/>
      <c r="G53" s="17"/>
      <c r="H53" s="17"/>
      <c r="I53" s="17"/>
      <c r="J53" s="17"/>
      <c r="K53" s="17"/>
      <c r="L53" s="17"/>
      <c r="Q53" s="30"/>
    </row>
    <row r="54" spans="1:18">
      <c r="B54" s="58" t="s">
        <v>855</v>
      </c>
      <c r="C54" s="146"/>
      <c r="D54" s="146"/>
      <c r="E54" s="146"/>
      <c r="F54" s="146"/>
      <c r="G54" s="146"/>
      <c r="H54" s="146"/>
      <c r="I54" s="146"/>
      <c r="J54" s="146"/>
      <c r="K54" s="146"/>
      <c r="L54" s="146"/>
      <c r="M54" s="55"/>
      <c r="N54" s="55"/>
      <c r="O54" s="55"/>
      <c r="P54" s="55"/>
      <c r="Q54" s="30"/>
    </row>
    <row r="55" spans="1:18">
      <c r="B55" s="153" t="s">
        <v>856</v>
      </c>
    </row>
    <row r="56" spans="1:18">
      <c r="R56" s="144"/>
    </row>
    <row r="57" spans="1:18">
      <c r="B57" s="17"/>
      <c r="C57" s="124" t="s">
        <v>371</v>
      </c>
      <c r="D57" s="124" t="s">
        <v>372</v>
      </c>
      <c r="E57" s="124" t="s">
        <v>373</v>
      </c>
      <c r="F57" s="17"/>
      <c r="G57" s="17"/>
      <c r="H57" s="17"/>
      <c r="I57" s="17"/>
      <c r="J57" s="17"/>
      <c r="K57" s="17"/>
      <c r="L57" s="17"/>
      <c r="Q57" s="30"/>
    </row>
    <row r="58" spans="1:18" ht="29">
      <c r="B58" s="17"/>
      <c r="C58" s="156" t="s">
        <v>857</v>
      </c>
      <c r="D58" s="156" t="s">
        <v>857</v>
      </c>
      <c r="E58" s="156" t="s">
        <v>857</v>
      </c>
      <c r="F58" s="17"/>
      <c r="G58" s="17"/>
      <c r="H58" s="17"/>
      <c r="I58" s="17"/>
      <c r="J58" s="17"/>
      <c r="K58" s="17"/>
      <c r="L58" s="17"/>
      <c r="Q58" s="30"/>
    </row>
    <row r="59" spans="1:18">
      <c r="F59" s="17"/>
      <c r="G59" s="17"/>
      <c r="H59" s="17"/>
      <c r="I59" s="17"/>
      <c r="J59" s="17"/>
      <c r="K59" s="17"/>
      <c r="L59" s="17"/>
      <c r="Q59" s="30"/>
    </row>
    <row r="60" spans="1:18">
      <c r="A60" s="121" t="s">
        <v>100</v>
      </c>
      <c r="B60" s="121" t="s">
        <v>420</v>
      </c>
      <c r="C60" s="124" t="s">
        <v>826</v>
      </c>
      <c r="D60" s="124" t="s">
        <v>715</v>
      </c>
      <c r="E60" s="124" t="s">
        <v>716</v>
      </c>
      <c r="F60" s="17"/>
      <c r="G60" s="17"/>
      <c r="H60" s="17"/>
      <c r="I60" s="17"/>
      <c r="J60" s="17"/>
      <c r="K60" s="17"/>
      <c r="L60" s="17"/>
      <c r="Q60" s="121" t="str">
        <f>A60</f>
        <v>Line</v>
      </c>
    </row>
    <row r="61" spans="1:18">
      <c r="A61" s="133">
        <v>500</v>
      </c>
      <c r="B61" s="158">
        <f>'1-BaseTRR'!$G$2</f>
        <v>2021</v>
      </c>
      <c r="C61" s="484">
        <f>+C25+E38+E51</f>
        <v>94137814.464215726</v>
      </c>
      <c r="D61" s="484">
        <f>+D25+F38+F51</f>
        <v>33330257.222054124</v>
      </c>
      <c r="E61" s="32">
        <f>+E25+G38+G51</f>
        <v>60807557.242161594</v>
      </c>
      <c r="F61" s="166" t="s">
        <v>858</v>
      </c>
      <c r="G61" s="17"/>
      <c r="H61" s="17"/>
      <c r="I61" s="17"/>
      <c r="J61" s="17"/>
      <c r="K61" s="17"/>
      <c r="L61" s="17"/>
      <c r="Q61" s="133">
        <f>A61</f>
        <v>500</v>
      </c>
    </row>
    <row r="62" spans="1:18">
      <c r="E62" s="17"/>
      <c r="F62" s="17"/>
      <c r="G62" s="17"/>
      <c r="H62" s="17"/>
      <c r="I62" s="17"/>
      <c r="J62" s="17"/>
      <c r="K62" s="17"/>
      <c r="L62" s="17"/>
      <c r="Q62" s="30"/>
    </row>
    <row r="63" spans="1:18">
      <c r="A63" s="27"/>
      <c r="B63" s="17"/>
      <c r="C63" s="17"/>
      <c r="D63" s="17"/>
      <c r="E63" s="17"/>
      <c r="F63" s="17"/>
      <c r="G63" s="17"/>
      <c r="H63" s="17"/>
      <c r="I63" s="17"/>
      <c r="J63" s="17"/>
      <c r="K63" s="17"/>
      <c r="L63" s="17"/>
      <c r="Q63" s="30"/>
    </row>
    <row r="64" spans="1:18">
      <c r="B64" s="845" t="s">
        <v>859</v>
      </c>
      <c r="C64" s="846"/>
      <c r="D64" s="846"/>
      <c r="E64" s="846"/>
      <c r="F64" s="846"/>
      <c r="G64" s="846"/>
      <c r="H64" s="846"/>
      <c r="I64" s="846"/>
      <c r="J64" s="846"/>
      <c r="K64" s="846"/>
      <c r="L64" s="846"/>
      <c r="M64" s="846"/>
      <c r="N64" s="846"/>
      <c r="O64" s="846"/>
      <c r="P64" s="847"/>
      <c r="Q64" s="144"/>
    </row>
    <row r="65" spans="1:17">
      <c r="A65" s="27"/>
      <c r="B65" s="17" t="s">
        <v>860</v>
      </c>
      <c r="C65" s="17"/>
      <c r="D65" s="17"/>
      <c r="E65" s="17"/>
      <c r="F65" s="17"/>
      <c r="G65" s="17"/>
      <c r="H65" s="17"/>
      <c r="I65" s="17"/>
      <c r="J65" s="17"/>
      <c r="K65" s="17"/>
      <c r="L65" s="17"/>
    </row>
    <row r="66" spans="1:17">
      <c r="A66" s="27"/>
      <c r="B66" s="17" t="s">
        <v>861</v>
      </c>
      <c r="C66" s="17"/>
      <c r="D66" s="17"/>
      <c r="E66" s="17"/>
      <c r="F66" s="17"/>
      <c r="G66" s="17"/>
      <c r="H66" s="17"/>
      <c r="I66" s="17"/>
      <c r="J66" s="17"/>
      <c r="K66" s="17"/>
      <c r="L66" s="17"/>
    </row>
    <row r="67" spans="1:17">
      <c r="A67" s="27"/>
      <c r="B67" s="17"/>
      <c r="C67" s="17"/>
      <c r="D67" s="17"/>
      <c r="E67" s="17"/>
      <c r="F67" s="17"/>
      <c r="G67" s="17"/>
      <c r="H67" s="17"/>
      <c r="I67" s="17"/>
      <c r="J67" s="17"/>
      <c r="K67" s="17"/>
      <c r="L67" s="17"/>
    </row>
    <row r="68" spans="1:17">
      <c r="A68" s="8"/>
      <c r="B68" s="58" t="s">
        <v>862</v>
      </c>
      <c r="C68" s="55"/>
      <c r="D68" s="55"/>
      <c r="E68" s="55"/>
      <c r="F68" s="55"/>
      <c r="G68" s="55"/>
      <c r="H68" s="146"/>
      <c r="I68" s="55"/>
      <c r="J68" s="55"/>
      <c r="K68" s="55"/>
      <c r="L68" s="55"/>
      <c r="M68" s="55"/>
      <c r="N68" s="55"/>
      <c r="O68" s="55"/>
      <c r="P68" s="55"/>
    </row>
    <row r="69" spans="1:17">
      <c r="B69" s="153" t="s">
        <v>863</v>
      </c>
    </row>
    <row r="71" spans="1:17">
      <c r="A71" s="8"/>
      <c r="D71" s="124" t="s">
        <v>371</v>
      </c>
      <c r="E71" s="124" t="s">
        <v>372</v>
      </c>
      <c r="F71" s="124" t="s">
        <v>373</v>
      </c>
      <c r="G71" s="124" t="s">
        <v>374</v>
      </c>
      <c r="H71" s="124" t="s">
        <v>375</v>
      </c>
      <c r="I71" s="124" t="s">
        <v>376</v>
      </c>
      <c r="J71" s="124" t="s">
        <v>377</v>
      </c>
      <c r="K71" s="124" t="s">
        <v>378</v>
      </c>
      <c r="L71" s="124" t="s">
        <v>409</v>
      </c>
      <c r="M71" s="124" t="s">
        <v>525</v>
      </c>
      <c r="N71" s="124" t="s">
        <v>526</v>
      </c>
      <c r="O71" s="124" t="s">
        <v>527</v>
      </c>
      <c r="P71" s="124" t="s">
        <v>528</v>
      </c>
    </row>
    <row r="72" spans="1:17">
      <c r="B72" s="8"/>
      <c r="C72" s="8"/>
      <c r="D72" s="164" t="s">
        <v>25</v>
      </c>
      <c r="E72" s="164" t="s">
        <v>25</v>
      </c>
      <c r="F72" s="164" t="s">
        <v>25</v>
      </c>
      <c r="G72" s="164" t="s">
        <v>25</v>
      </c>
      <c r="H72" s="164" t="s">
        <v>25</v>
      </c>
      <c r="I72" s="164" t="s">
        <v>25</v>
      </c>
      <c r="J72" s="164" t="s">
        <v>25</v>
      </c>
      <c r="K72" s="164" t="s">
        <v>25</v>
      </c>
      <c r="L72" s="164" t="s">
        <v>25</v>
      </c>
      <c r="M72" s="164" t="s">
        <v>25</v>
      </c>
      <c r="N72" s="164" t="s">
        <v>25</v>
      </c>
      <c r="O72" s="164" t="s">
        <v>25</v>
      </c>
      <c r="P72" s="156" t="s">
        <v>688</v>
      </c>
    </row>
    <row r="73" spans="1:17">
      <c r="B73" s="8"/>
      <c r="C73" s="8"/>
      <c r="N73" s="30"/>
      <c r="P73" s="156"/>
    </row>
    <row r="74" spans="1:17">
      <c r="A74" s="133"/>
      <c r="C74" s="15" t="s">
        <v>689</v>
      </c>
      <c r="D74" s="125">
        <v>350.01</v>
      </c>
      <c r="E74" s="125">
        <v>350.02</v>
      </c>
      <c r="F74" s="125">
        <v>352.01</v>
      </c>
      <c r="G74" s="125">
        <v>352.02</v>
      </c>
      <c r="H74" s="125">
        <v>353.01</v>
      </c>
      <c r="I74" s="125">
        <v>353.02</v>
      </c>
      <c r="J74" s="125">
        <v>354</v>
      </c>
      <c r="K74" s="125">
        <v>355</v>
      </c>
      <c r="L74" s="125">
        <v>356</v>
      </c>
      <c r="M74" s="125">
        <v>357</v>
      </c>
      <c r="N74" s="125">
        <v>358</v>
      </c>
      <c r="O74" s="125">
        <v>359</v>
      </c>
    </row>
    <row r="75" spans="1:17">
      <c r="A75" s="121" t="s">
        <v>100</v>
      </c>
      <c r="B75" s="121" t="s">
        <v>384</v>
      </c>
      <c r="C75" s="121" t="s">
        <v>420</v>
      </c>
      <c r="D75" s="124" t="s">
        <v>690</v>
      </c>
      <c r="E75" s="124" t="s">
        <v>691</v>
      </c>
      <c r="F75" s="124" t="s">
        <v>692</v>
      </c>
      <c r="G75" s="124" t="s">
        <v>693</v>
      </c>
      <c r="H75" s="124" t="s">
        <v>694</v>
      </c>
      <c r="I75" s="124" t="s">
        <v>695</v>
      </c>
      <c r="J75" s="124" t="s">
        <v>696</v>
      </c>
      <c r="K75" s="124" t="s">
        <v>697</v>
      </c>
      <c r="L75" s="124" t="s">
        <v>698</v>
      </c>
      <c r="M75" s="124" t="s">
        <v>699</v>
      </c>
      <c r="N75" s="124" t="s">
        <v>700</v>
      </c>
      <c r="O75" s="124" t="s">
        <v>701</v>
      </c>
      <c r="P75" s="121" t="s">
        <v>465</v>
      </c>
      <c r="Q75" s="121" t="str">
        <f>A75</f>
        <v>Line</v>
      </c>
    </row>
    <row r="76" spans="1:17">
      <c r="A76" s="133">
        <v>600</v>
      </c>
      <c r="B76" s="153" t="s">
        <v>430</v>
      </c>
      <c r="C76" s="158">
        <f>'1-BaseTRR'!$G$2</f>
        <v>2021</v>
      </c>
      <c r="D76" s="469">
        <f>+'7-PlantInService'!D13</f>
        <v>81082210</v>
      </c>
      <c r="E76" s="469">
        <f>+'7-PlantInService'!E13</f>
        <v>206091728</v>
      </c>
      <c r="F76" s="469">
        <f>+'7-PlantInService'!F13</f>
        <v>365924206</v>
      </c>
      <c r="G76" s="469">
        <f>+'7-PlantInService'!G13</f>
        <v>109197965</v>
      </c>
      <c r="H76" s="469">
        <f>+'7-PlantInService'!H13</f>
        <v>7206925588</v>
      </c>
      <c r="I76" s="469">
        <f>+'7-PlantInService'!I13</f>
        <v>35969921</v>
      </c>
      <c r="J76" s="469">
        <f>+'7-PlantInService'!J13</f>
        <v>948326282</v>
      </c>
      <c r="K76" s="469">
        <f>+'7-PlantInService'!K13</f>
        <v>1889644927</v>
      </c>
      <c r="L76" s="469">
        <f>+'7-PlantInService'!L13</f>
        <v>2089203871</v>
      </c>
      <c r="M76" s="469">
        <f>+'7-PlantInService'!M13</f>
        <v>511780794</v>
      </c>
      <c r="N76" s="469">
        <f>+'7-PlantInService'!N13</f>
        <v>281267655</v>
      </c>
      <c r="O76" s="469">
        <f>+'7-PlantInService'!O13</f>
        <v>140052847</v>
      </c>
      <c r="P76" s="33">
        <f t="shared" ref="P76:P87" si="1">SUM(D76:O76)</f>
        <v>13865467994</v>
      </c>
      <c r="Q76" s="133">
        <f t="shared" ref="Q76:Q87" si="2">A76</f>
        <v>600</v>
      </c>
    </row>
    <row r="77" spans="1:17">
      <c r="A77" s="133">
        <f t="shared" ref="A77:A87" si="3">A76+1</f>
        <v>601</v>
      </c>
      <c r="B77" s="153" t="s">
        <v>431</v>
      </c>
      <c r="C77" s="158">
        <f>'1-BaseTRR'!$G$2</f>
        <v>2021</v>
      </c>
      <c r="D77" s="469">
        <f>+'7-PlantInService'!D14</f>
        <v>81091166</v>
      </c>
      <c r="E77" s="469">
        <f>+'7-PlantInService'!E14</f>
        <v>206086007</v>
      </c>
      <c r="F77" s="469">
        <f>+'7-PlantInService'!F14</f>
        <v>365470220</v>
      </c>
      <c r="G77" s="469">
        <f>+'7-PlantInService'!G14</f>
        <v>109213427</v>
      </c>
      <c r="H77" s="469">
        <f>+'7-PlantInService'!H14</f>
        <v>7247377643</v>
      </c>
      <c r="I77" s="469">
        <f>+'7-PlantInService'!I14</f>
        <v>35969919</v>
      </c>
      <c r="J77" s="469">
        <f>+'7-PlantInService'!J14</f>
        <v>955735508</v>
      </c>
      <c r="K77" s="469">
        <f>+'7-PlantInService'!K14</f>
        <v>1901396960</v>
      </c>
      <c r="L77" s="469">
        <f>+'7-PlantInService'!L14</f>
        <v>2108502343</v>
      </c>
      <c r="M77" s="469">
        <f>+'7-PlantInService'!M14</f>
        <v>511782793</v>
      </c>
      <c r="N77" s="469">
        <f>+'7-PlantInService'!N14</f>
        <v>281517440</v>
      </c>
      <c r="O77" s="469">
        <f>+'7-PlantInService'!O14</f>
        <v>140856671</v>
      </c>
      <c r="P77" s="33">
        <f t="shared" si="1"/>
        <v>13945000097</v>
      </c>
      <c r="Q77" s="133">
        <f t="shared" si="2"/>
        <v>601</v>
      </c>
    </row>
    <row r="78" spans="1:17">
      <c r="A78" s="133">
        <f t="shared" si="3"/>
        <v>602</v>
      </c>
      <c r="B78" s="153" t="s">
        <v>432</v>
      </c>
      <c r="C78" s="158">
        <f>'1-BaseTRR'!$G$2</f>
        <v>2021</v>
      </c>
      <c r="D78" s="469">
        <f>+'7-PlantInService'!D15</f>
        <v>80990387</v>
      </c>
      <c r="E78" s="469">
        <f>+'7-PlantInService'!E15</f>
        <v>206165369</v>
      </c>
      <c r="F78" s="469">
        <f>+'7-PlantInService'!F15</f>
        <v>364180830</v>
      </c>
      <c r="G78" s="469">
        <f>+'7-PlantInService'!G15</f>
        <v>109229322</v>
      </c>
      <c r="H78" s="469">
        <f>+'7-PlantInService'!H15</f>
        <v>7302628652</v>
      </c>
      <c r="I78" s="469">
        <f>+'7-PlantInService'!I15</f>
        <v>35969924</v>
      </c>
      <c r="J78" s="469">
        <f>+'7-PlantInService'!J15</f>
        <v>960159717</v>
      </c>
      <c r="K78" s="469">
        <f>+'7-PlantInService'!K15</f>
        <v>1922473315</v>
      </c>
      <c r="L78" s="469">
        <f>+'7-PlantInService'!L15</f>
        <v>2136521607</v>
      </c>
      <c r="M78" s="469">
        <f>+'7-PlantInService'!M15</f>
        <v>511867942</v>
      </c>
      <c r="N78" s="469">
        <f>+'7-PlantInService'!N15</f>
        <v>281531345</v>
      </c>
      <c r="O78" s="469">
        <f>+'7-PlantInService'!O15</f>
        <v>156698169</v>
      </c>
      <c r="P78" s="33">
        <f t="shared" si="1"/>
        <v>14068416579</v>
      </c>
      <c r="Q78" s="133">
        <f t="shared" si="2"/>
        <v>602</v>
      </c>
    </row>
    <row r="79" spans="1:17">
      <c r="A79" s="133">
        <f t="shared" si="3"/>
        <v>603</v>
      </c>
      <c r="B79" s="153" t="s">
        <v>433</v>
      </c>
      <c r="C79" s="158">
        <f>'1-BaseTRR'!$G$2</f>
        <v>2021</v>
      </c>
      <c r="D79" s="469">
        <f>+'7-PlantInService'!D16</f>
        <v>81010943</v>
      </c>
      <c r="E79" s="469">
        <f>+'7-PlantInService'!E16</f>
        <v>216063108</v>
      </c>
      <c r="F79" s="469">
        <f>+'7-PlantInService'!F16</f>
        <v>365085639</v>
      </c>
      <c r="G79" s="469">
        <f>+'7-PlantInService'!G16</f>
        <v>109289057</v>
      </c>
      <c r="H79" s="469">
        <f>+'7-PlantInService'!H16</f>
        <v>7324469479</v>
      </c>
      <c r="I79" s="469">
        <f>+'7-PlantInService'!I16</f>
        <v>35969937</v>
      </c>
      <c r="J79" s="469">
        <f>+'7-PlantInService'!J16</f>
        <v>959599915</v>
      </c>
      <c r="K79" s="469">
        <f>+'7-PlantInService'!K16</f>
        <v>1941811078</v>
      </c>
      <c r="L79" s="469">
        <f>+'7-PlantInService'!L16</f>
        <v>2152171275</v>
      </c>
      <c r="M79" s="469">
        <f>+'7-PlantInService'!M16</f>
        <v>512266724</v>
      </c>
      <c r="N79" s="469">
        <f>+'7-PlantInService'!N16</f>
        <v>281537479</v>
      </c>
      <c r="O79" s="469">
        <f>+'7-PlantInService'!O16</f>
        <v>157076936</v>
      </c>
      <c r="P79" s="33">
        <f t="shared" si="1"/>
        <v>14136351570</v>
      </c>
      <c r="Q79" s="133">
        <f t="shared" si="2"/>
        <v>603</v>
      </c>
    </row>
    <row r="80" spans="1:17">
      <c r="A80" s="133">
        <f t="shared" si="3"/>
        <v>604</v>
      </c>
      <c r="B80" s="153" t="s">
        <v>395</v>
      </c>
      <c r="C80" s="158">
        <f>'1-BaseTRR'!$G$2</f>
        <v>2021</v>
      </c>
      <c r="D80" s="469">
        <f>+'7-PlantInService'!D17</f>
        <v>81195521</v>
      </c>
      <c r="E80" s="469">
        <f>+'7-PlantInService'!E17</f>
        <v>216318337</v>
      </c>
      <c r="F80" s="469">
        <f>+'7-PlantInService'!F17</f>
        <v>365641897</v>
      </c>
      <c r="G80" s="469">
        <f>+'7-PlantInService'!G17</f>
        <v>109489691</v>
      </c>
      <c r="H80" s="469">
        <f>+'7-PlantInService'!H17</f>
        <v>7369639929</v>
      </c>
      <c r="I80" s="469">
        <f>+'7-PlantInService'!I17</f>
        <v>35969927</v>
      </c>
      <c r="J80" s="469">
        <f>+'7-PlantInService'!J17</f>
        <v>1020088189</v>
      </c>
      <c r="K80" s="469">
        <f>+'7-PlantInService'!K17</f>
        <v>1958221339</v>
      </c>
      <c r="L80" s="469">
        <f>+'7-PlantInService'!L17</f>
        <v>2172650691</v>
      </c>
      <c r="M80" s="469">
        <f>+'7-PlantInService'!M17</f>
        <v>511940071</v>
      </c>
      <c r="N80" s="469">
        <f>+'7-PlantInService'!N17</f>
        <v>281503304</v>
      </c>
      <c r="O80" s="469">
        <f>+'7-PlantInService'!O17</f>
        <v>165548706</v>
      </c>
      <c r="P80" s="33">
        <f t="shared" si="1"/>
        <v>14288207602</v>
      </c>
      <c r="Q80" s="133">
        <f t="shared" si="2"/>
        <v>604</v>
      </c>
    </row>
    <row r="81" spans="1:17">
      <c r="A81" s="133">
        <f t="shared" si="3"/>
        <v>605</v>
      </c>
      <c r="B81" s="153" t="s">
        <v>531</v>
      </c>
      <c r="C81" s="158">
        <f>'1-BaseTRR'!$G$2</f>
        <v>2021</v>
      </c>
      <c r="D81" s="469">
        <f>+'7-PlantInService'!D18</f>
        <v>81166230</v>
      </c>
      <c r="E81" s="469">
        <f>+'7-PlantInService'!E18</f>
        <v>216331270</v>
      </c>
      <c r="F81" s="469">
        <f>+'7-PlantInService'!F18</f>
        <v>366619347</v>
      </c>
      <c r="G81" s="469">
        <f>+'7-PlantInService'!G18</f>
        <v>111419926</v>
      </c>
      <c r="H81" s="469">
        <f>+'7-PlantInService'!H18</f>
        <v>7403344835</v>
      </c>
      <c r="I81" s="469">
        <f>+'7-PlantInService'!I18</f>
        <v>35969927</v>
      </c>
      <c r="J81" s="469">
        <f>+'7-PlantInService'!J18</f>
        <v>1033121722</v>
      </c>
      <c r="K81" s="469">
        <f>+'7-PlantInService'!K18</f>
        <v>1981926007</v>
      </c>
      <c r="L81" s="469">
        <f>+'7-PlantInService'!L18</f>
        <v>2201114342</v>
      </c>
      <c r="M81" s="469">
        <f>+'7-PlantInService'!M18</f>
        <v>518140626</v>
      </c>
      <c r="N81" s="469">
        <f>+'7-PlantInService'!N18</f>
        <v>281512903</v>
      </c>
      <c r="O81" s="469">
        <f>+'7-PlantInService'!O18</f>
        <v>157927297</v>
      </c>
      <c r="P81" s="33">
        <f t="shared" si="1"/>
        <v>14388594432</v>
      </c>
      <c r="Q81" s="133">
        <f t="shared" si="2"/>
        <v>605</v>
      </c>
    </row>
    <row r="82" spans="1:17">
      <c r="A82" s="133">
        <f t="shared" si="3"/>
        <v>606</v>
      </c>
      <c r="B82" s="153" t="s">
        <v>435</v>
      </c>
      <c r="C82" s="158">
        <f>'1-BaseTRR'!$G$2</f>
        <v>2021</v>
      </c>
      <c r="D82" s="469">
        <f>+'7-PlantInService'!D19</f>
        <v>81407738</v>
      </c>
      <c r="E82" s="469">
        <f>+'7-PlantInService'!E19</f>
        <v>216533207</v>
      </c>
      <c r="F82" s="469">
        <f>+'7-PlantInService'!F19</f>
        <v>367975674</v>
      </c>
      <c r="G82" s="469">
        <f>+'7-PlantInService'!G19</f>
        <v>111212274</v>
      </c>
      <c r="H82" s="469">
        <f>+'7-PlantInService'!H19</f>
        <v>7411089444</v>
      </c>
      <c r="I82" s="469">
        <f>+'7-PlantInService'!I19</f>
        <v>35977423</v>
      </c>
      <c r="J82" s="469">
        <f>+'7-PlantInService'!J19</f>
        <v>1028087089</v>
      </c>
      <c r="K82" s="469">
        <f>+'7-PlantInService'!K19</f>
        <v>1992875662</v>
      </c>
      <c r="L82" s="469">
        <f>+'7-PlantInService'!L19</f>
        <v>2207639169</v>
      </c>
      <c r="M82" s="469">
        <f>+'7-PlantInService'!M19</f>
        <v>518157542</v>
      </c>
      <c r="N82" s="469">
        <f>+'7-PlantInService'!N19</f>
        <v>281545049</v>
      </c>
      <c r="O82" s="469">
        <f>+'7-PlantInService'!O19</f>
        <v>158268847</v>
      </c>
      <c r="P82" s="33">
        <f t="shared" si="1"/>
        <v>14410769118</v>
      </c>
      <c r="Q82" s="133">
        <f t="shared" si="2"/>
        <v>606</v>
      </c>
    </row>
    <row r="83" spans="1:17">
      <c r="A83" s="133">
        <f t="shared" si="3"/>
        <v>607</v>
      </c>
      <c r="B83" s="153" t="s">
        <v>436</v>
      </c>
      <c r="C83" s="158">
        <f>'1-BaseTRR'!$G$2</f>
        <v>2021</v>
      </c>
      <c r="D83" s="469">
        <f>+'7-PlantInService'!D20</f>
        <v>81038869</v>
      </c>
      <c r="E83" s="469">
        <f>+'7-PlantInService'!E20</f>
        <v>216853280</v>
      </c>
      <c r="F83" s="469">
        <f>+'7-PlantInService'!F20</f>
        <v>371301372</v>
      </c>
      <c r="G83" s="469">
        <f>+'7-PlantInService'!G20</f>
        <v>111277950</v>
      </c>
      <c r="H83" s="469">
        <f>+'7-PlantInService'!H20</f>
        <v>7419544048</v>
      </c>
      <c r="I83" s="469">
        <f>+'7-PlantInService'!I20</f>
        <v>35992886</v>
      </c>
      <c r="J83" s="469">
        <f>+'7-PlantInService'!J20</f>
        <v>1025893976</v>
      </c>
      <c r="K83" s="469">
        <f>+'7-PlantInService'!K20</f>
        <v>2002945255</v>
      </c>
      <c r="L83" s="469">
        <f>+'7-PlantInService'!L20</f>
        <v>2221102850</v>
      </c>
      <c r="M83" s="469">
        <f>+'7-PlantInService'!M20</f>
        <v>519234160</v>
      </c>
      <c r="N83" s="469">
        <f>+'7-PlantInService'!N20</f>
        <v>282534481</v>
      </c>
      <c r="O83" s="469">
        <f>+'7-PlantInService'!O20</f>
        <v>159116314</v>
      </c>
      <c r="P83" s="33">
        <f t="shared" si="1"/>
        <v>14446835441</v>
      </c>
      <c r="Q83" s="133">
        <f t="shared" si="2"/>
        <v>607</v>
      </c>
    </row>
    <row r="84" spans="1:17">
      <c r="A84" s="133">
        <f t="shared" si="3"/>
        <v>608</v>
      </c>
      <c r="B84" s="153" t="s">
        <v>437</v>
      </c>
      <c r="C84" s="158">
        <f>'1-BaseTRR'!$G$2</f>
        <v>2021</v>
      </c>
      <c r="D84" s="469">
        <f>+'7-PlantInService'!D21</f>
        <v>80558548</v>
      </c>
      <c r="E84" s="469">
        <f>+'7-PlantInService'!E21</f>
        <v>216902184</v>
      </c>
      <c r="F84" s="469">
        <f>+'7-PlantInService'!F21</f>
        <v>371342854</v>
      </c>
      <c r="G84" s="469">
        <f>+'7-PlantInService'!G21</f>
        <v>107652505</v>
      </c>
      <c r="H84" s="469">
        <f>+'7-PlantInService'!H21</f>
        <v>7451152743</v>
      </c>
      <c r="I84" s="469">
        <f>+'7-PlantInService'!I21</f>
        <v>34530963</v>
      </c>
      <c r="J84" s="469">
        <f>+'7-PlantInService'!J21</f>
        <v>1026697230</v>
      </c>
      <c r="K84" s="469">
        <f>+'7-PlantInService'!K21</f>
        <v>2032409326</v>
      </c>
      <c r="L84" s="469">
        <f>+'7-PlantInService'!L21</f>
        <v>2234517950</v>
      </c>
      <c r="M84" s="469">
        <f>+'7-PlantInService'!M21</f>
        <v>518187422</v>
      </c>
      <c r="N84" s="469">
        <f>+'7-PlantInService'!N21</f>
        <v>281559380</v>
      </c>
      <c r="O84" s="469">
        <f>+'7-PlantInService'!O21</f>
        <v>160346173</v>
      </c>
      <c r="P84" s="33">
        <f t="shared" si="1"/>
        <v>14515857278</v>
      </c>
      <c r="Q84" s="133">
        <f t="shared" si="2"/>
        <v>608</v>
      </c>
    </row>
    <row r="85" spans="1:17">
      <c r="A85" s="133">
        <f t="shared" si="3"/>
        <v>609</v>
      </c>
      <c r="B85" s="153" t="s">
        <v>438</v>
      </c>
      <c r="C85" s="158">
        <f>'1-BaseTRR'!$G$2</f>
        <v>2021</v>
      </c>
      <c r="D85" s="469">
        <f>+'7-PlantInService'!D22</f>
        <v>81465910</v>
      </c>
      <c r="E85" s="469">
        <f>+'7-PlantInService'!E22</f>
        <v>217137771</v>
      </c>
      <c r="F85" s="469">
        <f>+'7-PlantInService'!F22</f>
        <v>371358245</v>
      </c>
      <c r="G85" s="469">
        <f>+'7-PlantInService'!G22</f>
        <v>108285821</v>
      </c>
      <c r="H85" s="469">
        <f>+'7-PlantInService'!H22</f>
        <v>7462951303</v>
      </c>
      <c r="I85" s="469">
        <f>+'7-PlantInService'!I22</f>
        <v>34560958</v>
      </c>
      <c r="J85" s="469">
        <f>+'7-PlantInService'!J22</f>
        <v>1027423378</v>
      </c>
      <c r="K85" s="469">
        <f>+'7-PlantInService'!K22</f>
        <v>2056121519</v>
      </c>
      <c r="L85" s="469">
        <f>+'7-PlantInService'!L22</f>
        <v>2264699551</v>
      </c>
      <c r="M85" s="469">
        <f>+'7-PlantInService'!M22</f>
        <v>518207870</v>
      </c>
      <c r="N85" s="469">
        <f>+'7-PlantInService'!N22</f>
        <v>281563823</v>
      </c>
      <c r="O85" s="469">
        <f>+'7-PlantInService'!O22</f>
        <v>161084948</v>
      </c>
      <c r="P85" s="33">
        <f t="shared" si="1"/>
        <v>14584861097</v>
      </c>
      <c r="Q85" s="133">
        <f t="shared" si="2"/>
        <v>609</v>
      </c>
    </row>
    <row r="86" spans="1:17">
      <c r="A86" s="133">
        <f t="shared" si="3"/>
        <v>610</v>
      </c>
      <c r="B86" s="153" t="s">
        <v>439</v>
      </c>
      <c r="C86" s="158">
        <f>'1-BaseTRR'!$G$2</f>
        <v>2021</v>
      </c>
      <c r="D86" s="469">
        <f>+'7-PlantInService'!D23</f>
        <v>81298190</v>
      </c>
      <c r="E86" s="469">
        <f>+'7-PlantInService'!E23</f>
        <v>217689642</v>
      </c>
      <c r="F86" s="469">
        <f>+'7-PlantInService'!F23</f>
        <v>371380938</v>
      </c>
      <c r="G86" s="469">
        <f>+'7-PlantInService'!G23</f>
        <v>108507540</v>
      </c>
      <c r="H86" s="469">
        <f>+'7-PlantInService'!H23</f>
        <v>7528974216</v>
      </c>
      <c r="I86" s="469">
        <f>+'7-PlantInService'!I23</f>
        <v>34569305</v>
      </c>
      <c r="J86" s="469">
        <f>+'7-PlantInService'!J23</f>
        <v>1029579528</v>
      </c>
      <c r="K86" s="469">
        <f>+'7-PlantInService'!K23</f>
        <v>2076394581</v>
      </c>
      <c r="L86" s="469">
        <f>+'7-PlantInService'!L23</f>
        <v>2295546590</v>
      </c>
      <c r="M86" s="469">
        <f>+'7-PlantInService'!M23</f>
        <v>518612446</v>
      </c>
      <c r="N86" s="469">
        <f>+'7-PlantInService'!N23</f>
        <v>281572447</v>
      </c>
      <c r="O86" s="469">
        <f>+'7-PlantInService'!O23</f>
        <v>162616168</v>
      </c>
      <c r="P86" s="33">
        <f t="shared" si="1"/>
        <v>14706741591</v>
      </c>
      <c r="Q86" s="133">
        <f t="shared" si="2"/>
        <v>610</v>
      </c>
    </row>
    <row r="87" spans="1:17">
      <c r="A87" s="133">
        <f t="shared" si="3"/>
        <v>611</v>
      </c>
      <c r="B87" s="153" t="s">
        <v>428</v>
      </c>
      <c r="C87" s="158">
        <f>'1-BaseTRR'!$G$2</f>
        <v>2021</v>
      </c>
      <c r="D87" s="469">
        <f>+'7-PlantInService'!D24</f>
        <v>82791681</v>
      </c>
      <c r="E87" s="469">
        <f>+'7-PlantInService'!E24</f>
        <v>208997631</v>
      </c>
      <c r="F87" s="469">
        <f>+'7-PlantInService'!F24</f>
        <v>362688526</v>
      </c>
      <c r="G87" s="469">
        <f>+'7-PlantInService'!G24</f>
        <v>108679506</v>
      </c>
      <c r="H87" s="469">
        <f>+'7-PlantInService'!H24</f>
        <v>7529329070</v>
      </c>
      <c r="I87" s="469">
        <f>+'7-PlantInService'!I24</f>
        <v>35991450</v>
      </c>
      <c r="J87" s="469">
        <f>+'7-PlantInService'!J24</f>
        <v>1040283564</v>
      </c>
      <c r="K87" s="469">
        <f>+'7-PlantInService'!K24</f>
        <v>2159592516</v>
      </c>
      <c r="L87" s="469">
        <f>+'7-PlantInService'!L24</f>
        <v>2346203987</v>
      </c>
      <c r="M87" s="469">
        <f>+'7-PlantInService'!M24</f>
        <v>518614161</v>
      </c>
      <c r="N87" s="469">
        <f>+'7-PlantInService'!N24</f>
        <v>281575116</v>
      </c>
      <c r="O87" s="469">
        <f>+'7-PlantInService'!O24</f>
        <v>164958388</v>
      </c>
      <c r="P87" s="469">
        <f t="shared" si="1"/>
        <v>14839705596</v>
      </c>
      <c r="Q87" s="133">
        <f t="shared" si="2"/>
        <v>611</v>
      </c>
    </row>
    <row r="88" spans="1:17" ht="13.5" customHeight="1">
      <c r="A88" s="133"/>
      <c r="B88" s="183"/>
      <c r="C88" s="170"/>
      <c r="D88" s="229"/>
      <c r="E88" s="229"/>
      <c r="F88" s="229"/>
      <c r="G88" s="229"/>
      <c r="H88" s="229"/>
      <c r="I88" s="229"/>
      <c r="J88" s="229"/>
      <c r="K88" s="229"/>
      <c r="L88" s="229"/>
      <c r="M88" s="229"/>
      <c r="N88" s="229"/>
      <c r="O88" s="229"/>
      <c r="P88" s="229"/>
      <c r="Q88" s="133"/>
    </row>
    <row r="89" spans="1:17" ht="13.5" customHeight="1">
      <c r="A89" s="27"/>
      <c r="B89" s="17"/>
      <c r="C89" s="17"/>
      <c r="D89" s="17"/>
      <c r="E89" s="17"/>
      <c r="F89" s="17"/>
      <c r="G89" s="17"/>
      <c r="H89" s="17"/>
      <c r="I89" s="17"/>
      <c r="J89" s="17"/>
      <c r="K89" s="17"/>
      <c r="L89" s="17"/>
    </row>
    <row r="90" spans="1:17" ht="13.5" customHeight="1">
      <c r="B90" s="230" t="s">
        <v>864</v>
      </c>
      <c r="C90" s="146"/>
      <c r="D90" s="146"/>
      <c r="E90" s="146"/>
      <c r="F90" s="146"/>
      <c r="G90" s="146"/>
      <c r="H90" s="146"/>
      <c r="I90" s="146"/>
      <c r="J90" s="146"/>
      <c r="K90" s="146"/>
      <c r="L90" s="146"/>
      <c r="M90" s="55"/>
      <c r="N90" s="55"/>
      <c r="O90" s="55"/>
      <c r="P90" s="55"/>
    </row>
    <row r="91" spans="1:17">
      <c r="B91" s="153" t="s">
        <v>865</v>
      </c>
    </row>
    <row r="92" spans="1:17">
      <c r="B92" s="153" t="s">
        <v>866</v>
      </c>
    </row>
    <row r="93" spans="1:17">
      <c r="B93" s="153"/>
    </row>
    <row r="94" spans="1:17">
      <c r="D94" s="124" t="s">
        <v>371</v>
      </c>
      <c r="E94" s="124" t="s">
        <v>372</v>
      </c>
      <c r="F94" s="124" t="s">
        <v>373</v>
      </c>
      <c r="G94" s="124" t="s">
        <v>374</v>
      </c>
      <c r="H94" s="124" t="s">
        <v>375</v>
      </c>
      <c r="I94" s="124" t="s">
        <v>376</v>
      </c>
      <c r="J94" s="124" t="s">
        <v>377</v>
      </c>
      <c r="K94" s="124" t="s">
        <v>378</v>
      </c>
      <c r="L94" s="124" t="s">
        <v>409</v>
      </c>
      <c r="M94" s="124" t="s">
        <v>525</v>
      </c>
      <c r="N94" s="124" t="s">
        <v>526</v>
      </c>
      <c r="O94" s="124" t="s">
        <v>527</v>
      </c>
    </row>
    <row r="95" spans="1:17" ht="29">
      <c r="D95" s="156" t="s">
        <v>287</v>
      </c>
      <c r="E95" s="156" t="s">
        <v>410</v>
      </c>
      <c r="F95" s="156" t="s">
        <v>867</v>
      </c>
      <c r="G95" s="156" t="s">
        <v>868</v>
      </c>
      <c r="H95" s="156" t="s">
        <v>869</v>
      </c>
      <c r="I95" s="156" t="s">
        <v>870</v>
      </c>
      <c r="J95" s="156" t="s">
        <v>871</v>
      </c>
      <c r="K95" s="156" t="s">
        <v>872</v>
      </c>
      <c r="L95" s="156" t="s">
        <v>873</v>
      </c>
      <c r="M95" s="156" t="s">
        <v>874</v>
      </c>
      <c r="N95" s="156" t="s">
        <v>875</v>
      </c>
      <c r="O95" s="156" t="s">
        <v>876</v>
      </c>
      <c r="P95" s="164"/>
    </row>
    <row r="96" spans="1:17">
      <c r="A96" s="133"/>
    </row>
    <row r="97" spans="1:17">
      <c r="A97" s="121" t="s">
        <v>100</v>
      </c>
      <c r="B97" s="17"/>
      <c r="D97" s="124" t="s">
        <v>690</v>
      </c>
      <c r="E97" s="124" t="s">
        <v>691</v>
      </c>
      <c r="F97" s="124" t="s">
        <v>692</v>
      </c>
      <c r="G97" s="124" t="s">
        <v>693</v>
      </c>
      <c r="H97" s="124" t="s">
        <v>694</v>
      </c>
      <c r="I97" s="124" t="s">
        <v>695</v>
      </c>
      <c r="J97" s="124" t="s">
        <v>696</v>
      </c>
      <c r="K97" s="124" t="s">
        <v>697</v>
      </c>
      <c r="L97" s="124" t="s">
        <v>698</v>
      </c>
      <c r="M97" s="124" t="s">
        <v>699</v>
      </c>
      <c r="N97" s="124" t="s">
        <v>700</v>
      </c>
      <c r="O97" s="124" t="s">
        <v>701</v>
      </c>
      <c r="Q97" s="121" t="str">
        <f>A97</f>
        <v>Line</v>
      </c>
    </row>
    <row r="98" spans="1:17">
      <c r="A98" s="133">
        <v>700</v>
      </c>
      <c r="B98" t="s">
        <v>877</v>
      </c>
      <c r="D98" s="231">
        <v>0</v>
      </c>
      <c r="E98" s="231">
        <f>'12-DepRates'!O21</f>
        <v>1.83E-2</v>
      </c>
      <c r="F98" s="231">
        <f>VLOOKUP(F97,'12-DepRates'!$D:$N,11,FALSE)</f>
        <v>1.6299999999999999E-2</v>
      </c>
      <c r="G98" s="231">
        <f>VLOOKUP(G97,'12-DepRates'!$D:$N,11,FALSE)</f>
        <v>1.7139999999999999E-2</v>
      </c>
      <c r="H98" s="231">
        <f>VLOOKUP(H97,'12-DepRates'!$D:$N,11,FALSE)</f>
        <v>3.1309999999999998E-2</v>
      </c>
      <c r="I98" s="231">
        <f>VLOOKUP(I97,'12-DepRates'!$D:$N,11,FALSE)</f>
        <v>1.661E-2</v>
      </c>
      <c r="J98" s="231">
        <f>VLOOKUP(J97,'12-DepRates'!$D:$N,11,FALSE)</f>
        <v>2.299E-2</v>
      </c>
      <c r="K98" s="231">
        <f>VLOOKUP(K97,'12-DepRates'!$D:$N,11,FALSE)</f>
        <v>3.1559999999999998E-2</v>
      </c>
      <c r="L98" s="231">
        <f>VLOOKUP(L97,'12-DepRates'!$D:$N,11,FALSE)</f>
        <v>2.724E-2</v>
      </c>
      <c r="M98" s="231">
        <f>VLOOKUP(M97,'12-DepRates'!$D:$N,11,FALSE)</f>
        <v>1.529E-2</v>
      </c>
      <c r="N98" s="231">
        <f>VLOOKUP(N97,'12-DepRates'!$D:$N,11,FALSE)</f>
        <v>1.9900000000000001E-2</v>
      </c>
      <c r="O98" s="231">
        <f>VLOOKUP(O97,'12-DepRates'!$D:$N,11,FALSE)</f>
        <v>1.8620000000000001E-2</v>
      </c>
      <c r="Q98" s="133">
        <f>Q87+1</f>
        <v>612</v>
      </c>
    </row>
    <row r="99" spans="1:17">
      <c r="A99" s="27"/>
      <c r="B99" s="27"/>
      <c r="C99" s="17"/>
      <c r="D99" s="17"/>
      <c r="E99" s="17"/>
      <c r="F99" s="17"/>
      <c r="G99" s="17"/>
      <c r="H99" s="17"/>
      <c r="I99" s="17"/>
      <c r="J99" s="17"/>
      <c r="K99" s="17"/>
      <c r="L99" s="17"/>
    </row>
    <row r="100" spans="1:17">
      <c r="A100" s="27"/>
      <c r="B100" s="27"/>
      <c r="C100" s="17"/>
      <c r="D100" s="17"/>
      <c r="E100" s="17"/>
      <c r="F100" s="17"/>
      <c r="G100" s="17"/>
      <c r="H100" s="17"/>
      <c r="I100" s="17"/>
      <c r="J100" s="17"/>
      <c r="K100" s="17"/>
      <c r="L100" s="17"/>
    </row>
    <row r="101" spans="1:17">
      <c r="B101" s="58" t="s">
        <v>878</v>
      </c>
      <c r="C101" s="146"/>
      <c r="D101" s="146"/>
      <c r="E101" s="146"/>
      <c r="F101" s="146"/>
      <c r="G101" s="146"/>
      <c r="H101" s="146"/>
      <c r="I101" s="146"/>
      <c r="J101" s="146"/>
      <c r="K101" s="146"/>
      <c r="L101" s="146"/>
      <c r="M101" s="55"/>
      <c r="N101" s="55"/>
      <c r="O101" s="55"/>
      <c r="P101" s="55"/>
    </row>
    <row r="102" spans="1:17">
      <c r="B102" t="s">
        <v>879</v>
      </c>
    </row>
    <row r="104" spans="1:17">
      <c r="A104" s="8"/>
      <c r="D104" s="124" t="s">
        <v>371</v>
      </c>
      <c r="E104" s="124" t="s">
        <v>372</v>
      </c>
      <c r="F104" s="124" t="s">
        <v>373</v>
      </c>
      <c r="G104" s="124" t="s">
        <v>374</v>
      </c>
      <c r="H104" s="124" t="s">
        <v>375</v>
      </c>
      <c r="I104" s="124" t="s">
        <v>376</v>
      </c>
      <c r="J104" s="124" t="s">
        <v>377</v>
      </c>
      <c r="K104" s="124" t="s">
        <v>378</v>
      </c>
      <c r="L104" s="124" t="s">
        <v>409</v>
      </c>
      <c r="M104" s="124" t="s">
        <v>525</v>
      </c>
      <c r="N104" s="124" t="s">
        <v>526</v>
      </c>
      <c r="O104" s="124" t="s">
        <v>527</v>
      </c>
      <c r="P104" s="13" t="s">
        <v>528</v>
      </c>
    </row>
    <row r="105" spans="1:17" ht="29">
      <c r="B105" s="133"/>
      <c r="C105" s="133"/>
      <c r="D105" s="156" t="s">
        <v>880</v>
      </c>
      <c r="E105" s="156" t="s">
        <v>880</v>
      </c>
      <c r="F105" s="156" t="s">
        <v>880</v>
      </c>
      <c r="G105" s="156" t="s">
        <v>880</v>
      </c>
      <c r="H105" s="156" t="s">
        <v>880</v>
      </c>
      <c r="I105" s="156" t="s">
        <v>880</v>
      </c>
      <c r="J105" s="156" t="s">
        <v>880</v>
      </c>
      <c r="K105" s="156" t="s">
        <v>880</v>
      </c>
      <c r="L105" s="156" t="s">
        <v>880</v>
      </c>
      <c r="M105" s="156" t="s">
        <v>880</v>
      </c>
      <c r="N105" s="156" t="s">
        <v>880</v>
      </c>
      <c r="O105" s="156" t="s">
        <v>880</v>
      </c>
      <c r="P105" s="156" t="s">
        <v>688</v>
      </c>
    </row>
    <row r="106" spans="1:17">
      <c r="B106" s="133"/>
      <c r="C106" s="133"/>
      <c r="D106" s="124"/>
      <c r="E106" s="124"/>
      <c r="P106" s="30"/>
    </row>
    <row r="107" spans="1:17">
      <c r="B107" s="15" t="s">
        <v>689</v>
      </c>
      <c r="C107" s="15"/>
      <c r="D107" s="125">
        <v>350.01</v>
      </c>
      <c r="E107" s="125">
        <v>350.02</v>
      </c>
      <c r="F107" s="125">
        <v>352.01</v>
      </c>
      <c r="G107" s="125">
        <v>352.02</v>
      </c>
      <c r="H107" s="125">
        <v>353.01</v>
      </c>
      <c r="I107" s="125">
        <v>353.02</v>
      </c>
      <c r="J107" s="125">
        <v>354</v>
      </c>
      <c r="K107" s="125">
        <v>355</v>
      </c>
      <c r="L107" s="125">
        <v>356</v>
      </c>
      <c r="M107" s="125">
        <v>357</v>
      </c>
      <c r="N107" s="125">
        <v>358</v>
      </c>
      <c r="O107" s="125">
        <v>359</v>
      </c>
      <c r="P107" s="30"/>
    </row>
    <row r="108" spans="1:17" s="144" customFormat="1">
      <c r="A108" s="121" t="s">
        <v>100</v>
      </c>
      <c r="B108" s="121" t="s">
        <v>384</v>
      </c>
      <c r="C108" s="121" t="s">
        <v>420</v>
      </c>
      <c r="D108" s="124" t="s">
        <v>690</v>
      </c>
      <c r="E108" s="124" t="s">
        <v>691</v>
      </c>
      <c r="F108" s="124" t="s">
        <v>692</v>
      </c>
      <c r="G108" s="124" t="s">
        <v>693</v>
      </c>
      <c r="H108" s="124" t="s">
        <v>694</v>
      </c>
      <c r="I108" s="124" t="s">
        <v>695</v>
      </c>
      <c r="J108" s="124" t="s">
        <v>696</v>
      </c>
      <c r="K108" s="124" t="s">
        <v>697</v>
      </c>
      <c r="L108" s="124" t="s">
        <v>698</v>
      </c>
      <c r="M108" s="124" t="s">
        <v>699</v>
      </c>
      <c r="N108" s="124" t="s">
        <v>700</v>
      </c>
      <c r="O108" s="124" t="s">
        <v>701</v>
      </c>
      <c r="P108" s="121" t="s">
        <v>465</v>
      </c>
      <c r="Q108" s="121" t="str">
        <f>A108</f>
        <v>Line</v>
      </c>
    </row>
    <row r="109" spans="1:17">
      <c r="A109" s="133"/>
      <c r="B109" s="153"/>
      <c r="C109" s="153"/>
      <c r="D109" s="232"/>
      <c r="E109" s="233"/>
      <c r="F109" s="234"/>
      <c r="G109" s="232"/>
      <c r="H109" s="232"/>
      <c r="I109" s="232"/>
      <c r="J109" s="232"/>
      <c r="K109" s="232"/>
      <c r="L109" s="232"/>
      <c r="M109" s="232"/>
      <c r="N109" s="234"/>
      <c r="O109" s="234"/>
      <c r="P109" s="160"/>
    </row>
    <row r="110" spans="1:17">
      <c r="A110" s="133">
        <v>800</v>
      </c>
      <c r="B110" s="153" t="s">
        <v>430</v>
      </c>
      <c r="C110" s="158">
        <f>'1-BaseTRR'!$G$2</f>
        <v>2021</v>
      </c>
      <c r="D110" s="485">
        <f t="shared" ref="D110:O121" si="4">+D$98*D76/12</f>
        <v>0</v>
      </c>
      <c r="E110" s="486">
        <f t="shared" si="4"/>
        <v>314289.88520000002</v>
      </c>
      <c r="F110" s="485">
        <f t="shared" si="4"/>
        <v>497047.04648333328</v>
      </c>
      <c r="G110" s="485">
        <f t="shared" si="4"/>
        <v>155971.09334166665</v>
      </c>
      <c r="H110" s="485">
        <f t="shared" si="4"/>
        <v>18804070.013356667</v>
      </c>
      <c r="I110" s="485">
        <f t="shared" si="4"/>
        <v>49788.36565083333</v>
      </c>
      <c r="J110" s="485">
        <f t="shared" si="4"/>
        <v>1816835.1019316667</v>
      </c>
      <c r="K110" s="485">
        <f t="shared" si="4"/>
        <v>4969766.1580099994</v>
      </c>
      <c r="L110" s="485">
        <f t="shared" si="4"/>
        <v>4742492.7871699994</v>
      </c>
      <c r="M110" s="485">
        <f t="shared" si="4"/>
        <v>652094.02835499996</v>
      </c>
      <c r="N110" s="485">
        <f t="shared" si="4"/>
        <v>466435.52787499997</v>
      </c>
      <c r="O110" s="485">
        <f t="shared" si="4"/>
        <v>217315.33426166666</v>
      </c>
      <c r="P110" s="33">
        <f t="shared" ref="P110:P121" si="5">SUM(D110:O110)</f>
        <v>32686105.341635827</v>
      </c>
      <c r="Q110" s="133">
        <f t="shared" ref="Q110:Q122" si="6">A110</f>
        <v>800</v>
      </c>
    </row>
    <row r="111" spans="1:17">
      <c r="A111" s="133">
        <f t="shared" ref="A111:A122" si="7">A110+1</f>
        <v>801</v>
      </c>
      <c r="B111" s="153" t="s">
        <v>431</v>
      </c>
      <c r="C111" s="158">
        <f>'1-BaseTRR'!$G$2</f>
        <v>2021</v>
      </c>
      <c r="D111" s="485">
        <f t="shared" si="4"/>
        <v>0</v>
      </c>
      <c r="E111" s="485">
        <f t="shared" si="4"/>
        <v>314281.16067499999</v>
      </c>
      <c r="F111" s="485">
        <f t="shared" si="4"/>
        <v>496430.38216666662</v>
      </c>
      <c r="G111" s="485">
        <f t="shared" si="4"/>
        <v>155993.17823166665</v>
      </c>
      <c r="H111" s="485">
        <f t="shared" si="4"/>
        <v>18909616.16686083</v>
      </c>
      <c r="I111" s="485">
        <f t="shared" si="4"/>
        <v>49788.362882499998</v>
      </c>
      <c r="J111" s="485">
        <f t="shared" si="4"/>
        <v>1831029.9440766666</v>
      </c>
      <c r="K111" s="485">
        <f t="shared" si="4"/>
        <v>5000674.0048000002</v>
      </c>
      <c r="L111" s="485">
        <f t="shared" si="4"/>
        <v>4786300.3186100004</v>
      </c>
      <c r="M111" s="485">
        <f t="shared" si="4"/>
        <v>652096.57541416667</v>
      </c>
      <c r="N111" s="485">
        <f t="shared" si="4"/>
        <v>466849.75466666667</v>
      </c>
      <c r="O111" s="485">
        <f t="shared" si="4"/>
        <v>218562.60116833335</v>
      </c>
      <c r="P111" s="33">
        <f t="shared" si="5"/>
        <v>32881622.449552499</v>
      </c>
      <c r="Q111" s="133">
        <f t="shared" si="6"/>
        <v>801</v>
      </c>
    </row>
    <row r="112" spans="1:17">
      <c r="A112" s="133">
        <f t="shared" si="7"/>
        <v>802</v>
      </c>
      <c r="B112" s="153" t="s">
        <v>432</v>
      </c>
      <c r="C112" s="158">
        <f>'1-BaseTRR'!$G$2</f>
        <v>2021</v>
      </c>
      <c r="D112" s="485">
        <f t="shared" si="4"/>
        <v>0</v>
      </c>
      <c r="E112" s="485">
        <f t="shared" si="4"/>
        <v>314402.18772500003</v>
      </c>
      <c r="F112" s="485">
        <f t="shared" si="4"/>
        <v>494678.96074999991</v>
      </c>
      <c r="G112" s="485">
        <f t="shared" si="4"/>
        <v>156015.88158999998</v>
      </c>
      <c r="H112" s="485">
        <f t="shared" si="4"/>
        <v>19053775.257843334</v>
      </c>
      <c r="I112" s="485">
        <f t="shared" si="4"/>
        <v>49788.369803333335</v>
      </c>
      <c r="J112" s="485">
        <f t="shared" si="4"/>
        <v>1839505.9911525</v>
      </c>
      <c r="K112" s="485">
        <f t="shared" si="4"/>
        <v>5056104.8184499992</v>
      </c>
      <c r="L112" s="485">
        <f t="shared" si="4"/>
        <v>4849904.04789</v>
      </c>
      <c r="M112" s="485">
        <f t="shared" si="4"/>
        <v>652205.06943166663</v>
      </c>
      <c r="N112" s="485">
        <f t="shared" si="4"/>
        <v>466872.8137916667</v>
      </c>
      <c r="O112" s="485">
        <f t="shared" si="4"/>
        <v>243143.32556500004</v>
      </c>
      <c r="P112" s="33">
        <f t="shared" si="5"/>
        <v>33176396.723992497</v>
      </c>
      <c r="Q112" s="133">
        <f t="shared" si="6"/>
        <v>802</v>
      </c>
    </row>
    <row r="113" spans="1:17">
      <c r="A113" s="133">
        <f t="shared" si="7"/>
        <v>803</v>
      </c>
      <c r="B113" s="153" t="s">
        <v>433</v>
      </c>
      <c r="C113" s="158">
        <f>'1-BaseTRR'!$G$2</f>
        <v>2021</v>
      </c>
      <c r="D113" s="485">
        <f t="shared" si="4"/>
        <v>0</v>
      </c>
      <c r="E113" s="485">
        <f t="shared" si="4"/>
        <v>329496.23969999998</v>
      </c>
      <c r="F113" s="485">
        <f t="shared" si="4"/>
        <v>495907.992975</v>
      </c>
      <c r="G113" s="485">
        <f t="shared" si="4"/>
        <v>156101.20308166667</v>
      </c>
      <c r="H113" s="485">
        <f t="shared" si="4"/>
        <v>19110761.615624163</v>
      </c>
      <c r="I113" s="485">
        <f t="shared" si="4"/>
        <v>49788.3877975</v>
      </c>
      <c r="J113" s="485">
        <f t="shared" si="4"/>
        <v>1838433.5038208335</v>
      </c>
      <c r="K113" s="485">
        <f t="shared" si="4"/>
        <v>5106963.1351399999</v>
      </c>
      <c r="L113" s="485">
        <f t="shared" si="4"/>
        <v>4885428.7942500003</v>
      </c>
      <c r="M113" s="485">
        <f t="shared" si="4"/>
        <v>652713.18416333327</v>
      </c>
      <c r="N113" s="485">
        <f t="shared" si="4"/>
        <v>466882.98600833333</v>
      </c>
      <c r="O113" s="485">
        <f t="shared" si="4"/>
        <v>243731.04569333335</v>
      </c>
      <c r="P113" s="33">
        <f t="shared" si="5"/>
        <v>33336208.088254165</v>
      </c>
      <c r="Q113" s="133">
        <f t="shared" si="6"/>
        <v>803</v>
      </c>
    </row>
    <row r="114" spans="1:17" s="144" customFormat="1">
      <c r="A114" s="133">
        <f t="shared" si="7"/>
        <v>804</v>
      </c>
      <c r="B114" s="153" t="s">
        <v>395</v>
      </c>
      <c r="C114" s="158">
        <f>'1-BaseTRR'!$G$2</f>
        <v>2021</v>
      </c>
      <c r="D114" s="485">
        <f t="shared" si="4"/>
        <v>0</v>
      </c>
      <c r="E114" s="485">
        <f t="shared" si="4"/>
        <v>329885.46392499999</v>
      </c>
      <c r="F114" s="485">
        <f t="shared" si="4"/>
        <v>496663.57675833331</v>
      </c>
      <c r="G114" s="485">
        <f t="shared" si="4"/>
        <v>156387.77531166666</v>
      </c>
      <c r="H114" s="485">
        <f t="shared" si="4"/>
        <v>19228618.848082498</v>
      </c>
      <c r="I114" s="485">
        <f t="shared" si="4"/>
        <v>49788.373955833325</v>
      </c>
      <c r="J114" s="485">
        <f t="shared" si="4"/>
        <v>1954318.9554258334</v>
      </c>
      <c r="K114" s="485">
        <f t="shared" si="4"/>
        <v>5150122.1215699995</v>
      </c>
      <c r="L114" s="485">
        <f t="shared" si="4"/>
        <v>4931917.0685700001</v>
      </c>
      <c r="M114" s="485">
        <f t="shared" si="4"/>
        <v>652296.97379916662</v>
      </c>
      <c r="N114" s="485">
        <f t="shared" si="4"/>
        <v>466826.31246666674</v>
      </c>
      <c r="O114" s="485">
        <f t="shared" si="4"/>
        <v>256876.40881000002</v>
      </c>
      <c r="P114" s="33">
        <f t="shared" si="5"/>
        <v>33673701.878674991</v>
      </c>
      <c r="Q114" s="133">
        <f t="shared" si="6"/>
        <v>804</v>
      </c>
    </row>
    <row r="115" spans="1:17">
      <c r="A115" s="133">
        <f t="shared" si="7"/>
        <v>805</v>
      </c>
      <c r="B115" s="153" t="s">
        <v>531</v>
      </c>
      <c r="C115" s="158">
        <f>'1-BaseTRR'!$G$2</f>
        <v>2021</v>
      </c>
      <c r="D115" s="485">
        <f t="shared" si="4"/>
        <v>0</v>
      </c>
      <c r="E115" s="485">
        <f t="shared" si="4"/>
        <v>329905.18674999999</v>
      </c>
      <c r="F115" s="485">
        <f t="shared" si="4"/>
        <v>497991.27967499994</v>
      </c>
      <c r="G115" s="485">
        <f t="shared" si="4"/>
        <v>159144.79430333333</v>
      </c>
      <c r="H115" s="485">
        <f t="shared" si="4"/>
        <v>19316560.565320831</v>
      </c>
      <c r="I115" s="485">
        <f t="shared" si="4"/>
        <v>49788.373955833325</v>
      </c>
      <c r="J115" s="485">
        <f t="shared" si="4"/>
        <v>1979289.0323983335</v>
      </c>
      <c r="K115" s="485">
        <f t="shared" si="4"/>
        <v>5212465.3984099999</v>
      </c>
      <c r="L115" s="485">
        <f t="shared" si="4"/>
        <v>4996529.5563400006</v>
      </c>
      <c r="M115" s="485">
        <f t="shared" si="4"/>
        <v>660197.514295</v>
      </c>
      <c r="N115" s="485">
        <f t="shared" si="4"/>
        <v>466842.23080833332</v>
      </c>
      <c r="O115" s="485">
        <f t="shared" si="4"/>
        <v>245050.52251166667</v>
      </c>
      <c r="P115" s="33">
        <f t="shared" si="5"/>
        <v>33913764.454768337</v>
      </c>
      <c r="Q115" s="133">
        <f t="shared" si="6"/>
        <v>805</v>
      </c>
    </row>
    <row r="116" spans="1:17">
      <c r="A116" s="133">
        <f t="shared" si="7"/>
        <v>806</v>
      </c>
      <c r="B116" s="153" t="s">
        <v>435</v>
      </c>
      <c r="C116" s="158">
        <f>'1-BaseTRR'!$G$2</f>
        <v>2021</v>
      </c>
      <c r="D116" s="485">
        <f t="shared" si="4"/>
        <v>0</v>
      </c>
      <c r="E116" s="485">
        <f t="shared" si="4"/>
        <v>330213.14067499997</v>
      </c>
      <c r="F116" s="485">
        <f t="shared" si="4"/>
        <v>499833.62384999992</v>
      </c>
      <c r="G116" s="485">
        <f t="shared" si="4"/>
        <v>158848.19803</v>
      </c>
      <c r="H116" s="485">
        <f t="shared" si="4"/>
        <v>19336767.540969998</v>
      </c>
      <c r="I116" s="485">
        <f t="shared" si="4"/>
        <v>49798.749669166667</v>
      </c>
      <c r="J116" s="485">
        <f t="shared" si="4"/>
        <v>1969643.5146758333</v>
      </c>
      <c r="K116" s="485">
        <f t="shared" si="4"/>
        <v>5241262.9910599999</v>
      </c>
      <c r="L116" s="485">
        <f t="shared" si="4"/>
        <v>5011340.9136300003</v>
      </c>
      <c r="M116" s="485">
        <f t="shared" si="4"/>
        <v>660219.06809833331</v>
      </c>
      <c r="N116" s="485">
        <f t="shared" si="4"/>
        <v>466895.53959166672</v>
      </c>
      <c r="O116" s="485">
        <f t="shared" si="4"/>
        <v>245580.49426166667</v>
      </c>
      <c r="P116" s="33">
        <f t="shared" si="5"/>
        <v>33970403.774511665</v>
      </c>
      <c r="Q116" s="133">
        <f t="shared" si="6"/>
        <v>806</v>
      </c>
    </row>
    <row r="117" spans="1:17">
      <c r="A117" s="133">
        <f t="shared" si="7"/>
        <v>807</v>
      </c>
      <c r="B117" s="153" t="s">
        <v>436</v>
      </c>
      <c r="C117" s="158">
        <f>'1-BaseTRR'!$G$2</f>
        <v>2021</v>
      </c>
      <c r="D117" s="485">
        <f t="shared" si="4"/>
        <v>0</v>
      </c>
      <c r="E117" s="485">
        <f t="shared" si="4"/>
        <v>330701.25200000004</v>
      </c>
      <c r="F117" s="485">
        <f t="shared" si="4"/>
        <v>504351.03029999998</v>
      </c>
      <c r="G117" s="485">
        <f t="shared" si="4"/>
        <v>158942.00524999999</v>
      </c>
      <c r="H117" s="485">
        <f t="shared" si="4"/>
        <v>19358827.011906665</v>
      </c>
      <c r="I117" s="485">
        <f t="shared" si="4"/>
        <v>49820.153038333337</v>
      </c>
      <c r="J117" s="485">
        <f t="shared" si="4"/>
        <v>1965441.8756866667</v>
      </c>
      <c r="K117" s="485">
        <f t="shared" si="4"/>
        <v>5267746.0206499994</v>
      </c>
      <c r="L117" s="485">
        <f t="shared" si="4"/>
        <v>5041903.4695000006</v>
      </c>
      <c r="M117" s="485">
        <f t="shared" si="4"/>
        <v>661590.85886666668</v>
      </c>
      <c r="N117" s="485">
        <f t="shared" si="4"/>
        <v>468536.34765833337</v>
      </c>
      <c r="O117" s="485">
        <f t="shared" si="4"/>
        <v>246895.48055666671</v>
      </c>
      <c r="P117" s="33">
        <f t="shared" si="5"/>
        <v>34054755.505413331</v>
      </c>
      <c r="Q117" s="133">
        <f t="shared" si="6"/>
        <v>807</v>
      </c>
    </row>
    <row r="118" spans="1:17">
      <c r="A118" s="133">
        <f t="shared" si="7"/>
        <v>808</v>
      </c>
      <c r="B118" s="153" t="s">
        <v>437</v>
      </c>
      <c r="C118" s="158">
        <f>'1-BaseTRR'!$G$2</f>
        <v>2021</v>
      </c>
      <c r="D118" s="485">
        <f t="shared" si="4"/>
        <v>0</v>
      </c>
      <c r="E118" s="485">
        <f t="shared" si="4"/>
        <v>330775.83059999999</v>
      </c>
      <c r="F118" s="485">
        <f t="shared" si="4"/>
        <v>504407.37668333325</v>
      </c>
      <c r="G118" s="485">
        <f t="shared" si="4"/>
        <v>153763.66130833331</v>
      </c>
      <c r="H118" s="485">
        <f t="shared" si="4"/>
        <v>19441299.365277499</v>
      </c>
      <c r="I118" s="485">
        <f t="shared" si="4"/>
        <v>47796.607952499995</v>
      </c>
      <c r="J118" s="485">
        <f t="shared" si="4"/>
        <v>1966980.776475</v>
      </c>
      <c r="K118" s="485">
        <f t="shared" si="4"/>
        <v>5345236.5273799999</v>
      </c>
      <c r="L118" s="485">
        <f t="shared" si="4"/>
        <v>5072355.7465000004</v>
      </c>
      <c r="M118" s="485">
        <f t="shared" si="4"/>
        <v>660257.14019833331</v>
      </c>
      <c r="N118" s="485">
        <f t="shared" si="4"/>
        <v>466919.30516666669</v>
      </c>
      <c r="O118" s="485">
        <f t="shared" si="4"/>
        <v>248803.81177166666</v>
      </c>
      <c r="P118" s="33">
        <f t="shared" si="5"/>
        <v>34238596.149313338</v>
      </c>
      <c r="Q118" s="133">
        <f t="shared" si="6"/>
        <v>808</v>
      </c>
    </row>
    <row r="119" spans="1:17">
      <c r="A119" s="133">
        <f t="shared" si="7"/>
        <v>809</v>
      </c>
      <c r="B119" s="153" t="s">
        <v>438</v>
      </c>
      <c r="C119" s="158">
        <f>'1-BaseTRR'!$G$2</f>
        <v>2021</v>
      </c>
      <c r="D119" s="485">
        <f t="shared" si="4"/>
        <v>0</v>
      </c>
      <c r="E119" s="485">
        <f t="shared" si="4"/>
        <v>331135.100775</v>
      </c>
      <c r="F119" s="485">
        <f t="shared" si="4"/>
        <v>504428.28279166663</v>
      </c>
      <c r="G119" s="485">
        <f t="shared" si="4"/>
        <v>154668.24766166665</v>
      </c>
      <c r="H119" s="485">
        <f t="shared" si="4"/>
        <v>19472083.774744164</v>
      </c>
      <c r="I119" s="485">
        <f t="shared" si="4"/>
        <v>47838.126031666667</v>
      </c>
      <c r="J119" s="485">
        <f t="shared" si="4"/>
        <v>1968371.9550183334</v>
      </c>
      <c r="K119" s="485">
        <f t="shared" si="4"/>
        <v>5407599.59497</v>
      </c>
      <c r="L119" s="485">
        <f t="shared" si="4"/>
        <v>5140867.9807700003</v>
      </c>
      <c r="M119" s="485">
        <f t="shared" si="4"/>
        <v>660283.19435833336</v>
      </c>
      <c r="N119" s="485">
        <f t="shared" si="4"/>
        <v>466926.67314166669</v>
      </c>
      <c r="O119" s="485">
        <f t="shared" si="4"/>
        <v>249950.14431333335</v>
      </c>
      <c r="P119" s="33">
        <f t="shared" si="5"/>
        <v>34404153.074575827</v>
      </c>
      <c r="Q119" s="133">
        <f t="shared" si="6"/>
        <v>809</v>
      </c>
    </row>
    <row r="120" spans="1:17">
      <c r="A120" s="133">
        <f t="shared" si="7"/>
        <v>810</v>
      </c>
      <c r="B120" s="153" t="s">
        <v>439</v>
      </c>
      <c r="C120" s="158">
        <f>'1-BaseTRR'!$G$2</f>
        <v>2021</v>
      </c>
      <c r="D120" s="485">
        <f t="shared" si="4"/>
        <v>0</v>
      </c>
      <c r="E120" s="485">
        <f t="shared" si="4"/>
        <v>331976.70405</v>
      </c>
      <c r="F120" s="485">
        <f t="shared" si="4"/>
        <v>504459.10744999995</v>
      </c>
      <c r="G120" s="485">
        <f t="shared" si="4"/>
        <v>154984.93629999997</v>
      </c>
      <c r="H120" s="485">
        <f t="shared" si="4"/>
        <v>19644348.55858</v>
      </c>
      <c r="I120" s="485">
        <f t="shared" si="4"/>
        <v>47849.679670833335</v>
      </c>
      <c r="J120" s="485">
        <f t="shared" si="4"/>
        <v>1972502.7790599999</v>
      </c>
      <c r="K120" s="485">
        <f t="shared" si="4"/>
        <v>5460917.7480299994</v>
      </c>
      <c r="L120" s="485">
        <f t="shared" si="4"/>
        <v>5210890.7593</v>
      </c>
      <c r="M120" s="485">
        <f t="shared" si="4"/>
        <v>660798.69161166658</v>
      </c>
      <c r="N120" s="485">
        <f t="shared" si="4"/>
        <v>466940.97460833337</v>
      </c>
      <c r="O120" s="485">
        <f t="shared" si="4"/>
        <v>252326.0873466667</v>
      </c>
      <c r="P120" s="33">
        <f t="shared" si="5"/>
        <v>34707996.026007496</v>
      </c>
      <c r="Q120" s="133">
        <f t="shared" si="6"/>
        <v>810</v>
      </c>
    </row>
    <row r="121" spans="1:17">
      <c r="A121" s="133">
        <f t="shared" si="7"/>
        <v>811</v>
      </c>
      <c r="B121" s="161" t="s">
        <v>428</v>
      </c>
      <c r="C121" s="162">
        <f>'1-BaseTRR'!$G$2</f>
        <v>2021</v>
      </c>
      <c r="D121" s="473">
        <f t="shared" si="4"/>
        <v>0</v>
      </c>
      <c r="E121" s="473">
        <f t="shared" si="4"/>
        <v>318721.38727499999</v>
      </c>
      <c r="F121" s="473">
        <f t="shared" si="4"/>
        <v>492651.9144833333</v>
      </c>
      <c r="G121" s="473">
        <f t="shared" si="4"/>
        <v>155230.56107</v>
      </c>
      <c r="H121" s="473">
        <f t="shared" si="4"/>
        <v>19645274.431808334</v>
      </c>
      <c r="I121" s="473">
        <f t="shared" si="4"/>
        <v>49818.165375000004</v>
      </c>
      <c r="J121" s="473">
        <f t="shared" si="4"/>
        <v>1993009.9280300001</v>
      </c>
      <c r="K121" s="473">
        <f t="shared" si="4"/>
        <v>5679728.3170799995</v>
      </c>
      <c r="L121" s="473">
        <f t="shared" si="4"/>
        <v>5325883.0504900003</v>
      </c>
      <c r="M121" s="473">
        <f t="shared" si="4"/>
        <v>660800.87680750003</v>
      </c>
      <c r="N121" s="473">
        <f t="shared" si="4"/>
        <v>466945.40070000006</v>
      </c>
      <c r="O121" s="473">
        <f t="shared" si="4"/>
        <v>255960.43204666665</v>
      </c>
      <c r="P121" s="473">
        <f t="shared" si="5"/>
        <v>35044024.465165839</v>
      </c>
      <c r="Q121" s="133">
        <f t="shared" si="6"/>
        <v>811</v>
      </c>
    </row>
    <row r="122" spans="1:17">
      <c r="A122" s="133">
        <f t="shared" si="7"/>
        <v>812</v>
      </c>
      <c r="B122" s="170" t="s">
        <v>465</v>
      </c>
      <c r="C122" s="170"/>
      <c r="D122" s="491">
        <f>SUM(D110:D121)</f>
        <v>0</v>
      </c>
      <c r="E122" s="491">
        <f t="shared" ref="E122:P122" si="8">SUM(E110:E121)</f>
        <v>3905783.5393500002</v>
      </c>
      <c r="F122" s="491">
        <f t="shared" si="8"/>
        <v>5988850.5743666654</v>
      </c>
      <c r="G122" s="491">
        <f t="shared" si="8"/>
        <v>1876051.5354799998</v>
      </c>
      <c r="H122" s="491">
        <f t="shared" si="8"/>
        <v>231322003.15037498</v>
      </c>
      <c r="I122" s="491">
        <f t="shared" si="8"/>
        <v>591651.71578333329</v>
      </c>
      <c r="J122" s="491">
        <f t="shared" si="8"/>
        <v>23095363.357751667</v>
      </c>
      <c r="K122" s="491">
        <f t="shared" si="8"/>
        <v>62898586.835549988</v>
      </c>
      <c r="L122" s="491">
        <f t="shared" si="8"/>
        <v>59995814.493019998</v>
      </c>
      <c r="M122" s="491">
        <f t="shared" si="8"/>
        <v>7885553.1753991656</v>
      </c>
      <c r="N122" s="491">
        <f t="shared" si="8"/>
        <v>5603873.8664833345</v>
      </c>
      <c r="O122" s="491">
        <f t="shared" si="8"/>
        <v>2924195.6883066669</v>
      </c>
      <c r="P122" s="491">
        <f t="shared" si="8"/>
        <v>406087727.93186581</v>
      </c>
      <c r="Q122" s="133">
        <f t="shared" si="6"/>
        <v>812</v>
      </c>
    </row>
    <row r="123" spans="1:17">
      <c r="A123" s="27"/>
      <c r="B123" s="17"/>
      <c r="C123" s="17"/>
      <c r="D123" s="17"/>
      <c r="E123" s="17"/>
      <c r="F123" s="17"/>
      <c r="G123" s="17"/>
      <c r="H123" s="17"/>
      <c r="I123" s="17"/>
      <c r="J123" s="17"/>
      <c r="K123" s="17"/>
      <c r="L123" s="17"/>
    </row>
    <row r="124" spans="1:17">
      <c r="A124" s="27"/>
      <c r="B124" s="17"/>
      <c r="C124" s="17"/>
      <c r="D124" s="17"/>
      <c r="E124" s="17"/>
      <c r="F124" s="17"/>
      <c r="G124" s="17"/>
      <c r="H124" s="17"/>
      <c r="I124" s="17"/>
      <c r="J124" s="17"/>
      <c r="K124" s="17"/>
      <c r="L124" s="17"/>
    </row>
    <row r="125" spans="1:17">
      <c r="B125" s="120" t="s">
        <v>881</v>
      </c>
      <c r="C125" s="146"/>
      <c r="D125" s="146"/>
      <c r="E125" s="146"/>
      <c r="F125" s="146"/>
      <c r="G125" s="146"/>
      <c r="H125" s="146"/>
      <c r="I125" s="146"/>
      <c r="J125" s="146"/>
      <c r="K125" s="146"/>
      <c r="L125" s="146"/>
      <c r="M125" s="55"/>
      <c r="N125" s="55"/>
      <c r="O125" s="55"/>
      <c r="P125" s="55"/>
    </row>
    <row r="126" spans="1:17">
      <c r="B126" t="s">
        <v>882</v>
      </c>
    </row>
    <row r="128" spans="1:17">
      <c r="A128" s="121" t="s">
        <v>100</v>
      </c>
      <c r="B128" s="17"/>
      <c r="C128" s="17"/>
      <c r="D128" s="17"/>
      <c r="E128" s="17"/>
      <c r="F128" s="17"/>
      <c r="G128" s="17"/>
      <c r="H128" s="17"/>
      <c r="I128" s="17"/>
      <c r="J128" s="17"/>
      <c r="K128" s="17"/>
      <c r="L128" s="17"/>
      <c r="Q128" s="121" t="str">
        <f>A128</f>
        <v>Line</v>
      </c>
    </row>
    <row r="129" spans="1:17">
      <c r="A129" s="133">
        <v>900</v>
      </c>
      <c r="B129" s="2" t="s">
        <v>883</v>
      </c>
      <c r="C129" s="17"/>
      <c r="D129" s="17"/>
      <c r="F129" s="426">
        <f>+P122</f>
        <v>406087727.93186581</v>
      </c>
      <c r="G129" s="17" t="s">
        <v>884</v>
      </c>
      <c r="H129" s="17"/>
      <c r="I129" s="17"/>
      <c r="J129" s="17"/>
      <c r="K129" s="17"/>
      <c r="L129" s="17"/>
      <c r="Q129" s="133">
        <f t="shared" ref="Q129:Q131" si="9">A129</f>
        <v>900</v>
      </c>
    </row>
    <row r="130" spans="1:17">
      <c r="A130" s="133">
        <f>+A129+1</f>
        <v>901</v>
      </c>
      <c r="B130" s="235" t="s">
        <v>885</v>
      </c>
      <c r="C130" s="223"/>
      <c r="D130" s="223"/>
      <c r="E130" s="236"/>
      <c r="F130" s="487">
        <f>+O15</f>
        <v>403605164.43506497</v>
      </c>
      <c r="G130" s="17" t="s">
        <v>886</v>
      </c>
      <c r="H130" s="17"/>
      <c r="I130" s="17"/>
      <c r="J130" s="17"/>
      <c r="K130" s="17"/>
      <c r="L130" s="17"/>
      <c r="Q130" s="133">
        <f t="shared" si="9"/>
        <v>901</v>
      </c>
    </row>
    <row r="131" spans="1:17">
      <c r="A131" s="133">
        <f>+A130+1</f>
        <v>902</v>
      </c>
      <c r="B131" s="12" t="s">
        <v>887</v>
      </c>
      <c r="E131" s="17"/>
      <c r="F131" s="354">
        <f>+F129-F130</f>
        <v>2482563.4968008399</v>
      </c>
      <c r="G131" s="17" t="s">
        <v>888</v>
      </c>
      <c r="H131" s="12"/>
      <c r="I131" s="12"/>
      <c r="J131" s="12"/>
      <c r="K131" s="12"/>
      <c r="L131" s="144"/>
      <c r="M131" s="8"/>
      <c r="N131" s="144"/>
      <c r="O131" s="144"/>
      <c r="P131" s="144"/>
      <c r="Q131" s="133">
        <f t="shared" si="9"/>
        <v>902</v>
      </c>
    </row>
    <row r="132" spans="1:17">
      <c r="B132" s="133"/>
      <c r="C132" s="124"/>
      <c r="D132" s="124"/>
    </row>
    <row r="133" spans="1:17">
      <c r="B133" s="133"/>
      <c r="C133" s="124"/>
      <c r="D133" s="124"/>
    </row>
    <row r="134" spans="1:17">
      <c r="B134" s="16" t="s">
        <v>306</v>
      </c>
      <c r="C134" s="124"/>
      <c r="D134" s="124"/>
    </row>
    <row r="135" spans="1:17">
      <c r="B135" s="843" t="s">
        <v>889</v>
      </c>
      <c r="C135" s="843"/>
      <c r="D135" s="843"/>
      <c r="E135" s="843"/>
      <c r="F135" s="843"/>
      <c r="G135" s="843"/>
      <c r="H135" s="843"/>
      <c r="I135" s="843"/>
      <c r="J135" s="843"/>
      <c r="K135" s="843"/>
      <c r="L135" s="843"/>
      <c r="M135" s="843"/>
      <c r="N135" s="843"/>
      <c r="O135" s="843"/>
      <c r="P135" s="843"/>
    </row>
    <row r="136" spans="1:17">
      <c r="B136" s="843" t="s">
        <v>890</v>
      </c>
      <c r="C136" s="843"/>
      <c r="D136" s="843"/>
      <c r="E136" s="843"/>
      <c r="F136" s="843"/>
      <c r="G136" s="843"/>
      <c r="H136" s="843"/>
      <c r="I136" s="843"/>
      <c r="J136" s="843"/>
      <c r="K136" s="843"/>
      <c r="L136" s="843"/>
      <c r="M136" s="843"/>
      <c r="N136" s="843"/>
      <c r="O136" s="843"/>
      <c r="P136" s="843"/>
    </row>
    <row r="137" spans="1:17">
      <c r="B137" s="843" t="s">
        <v>891</v>
      </c>
      <c r="C137" s="843"/>
      <c r="D137" s="843"/>
      <c r="E137" s="843"/>
      <c r="F137" s="843"/>
      <c r="G137" s="843"/>
      <c r="H137" s="843"/>
      <c r="I137" s="843"/>
      <c r="J137" s="843"/>
      <c r="K137" s="843"/>
      <c r="L137" s="843"/>
      <c r="M137" s="843"/>
      <c r="N137" s="843"/>
      <c r="O137" s="843"/>
      <c r="P137" s="843"/>
    </row>
    <row r="138" spans="1:17">
      <c r="B138" s="843" t="s">
        <v>892</v>
      </c>
      <c r="C138" s="843"/>
      <c r="D138" s="843"/>
      <c r="E138" s="843"/>
      <c r="F138" s="843"/>
      <c r="G138" s="843"/>
      <c r="H138" s="843"/>
      <c r="I138" s="843"/>
      <c r="J138" s="843"/>
      <c r="K138" s="843"/>
      <c r="L138" s="843"/>
      <c r="M138" s="843"/>
      <c r="N138" s="843"/>
      <c r="O138" s="843"/>
      <c r="P138" s="843"/>
    </row>
    <row r="139" spans="1:17">
      <c r="B139" s="843" t="s">
        <v>893</v>
      </c>
      <c r="C139" s="843"/>
      <c r="D139" s="843"/>
      <c r="E139" s="843"/>
      <c r="F139" s="843"/>
      <c r="G139" s="843"/>
      <c r="H139" s="843"/>
      <c r="I139" s="843"/>
      <c r="J139" s="843"/>
      <c r="K139" s="843"/>
      <c r="L139" s="843"/>
      <c r="M139" s="843"/>
      <c r="N139" s="843"/>
      <c r="O139" s="843"/>
      <c r="P139" s="843"/>
    </row>
    <row r="140" spans="1:17">
      <c r="B140" s="843" t="s">
        <v>684</v>
      </c>
      <c r="C140" s="843"/>
      <c r="D140" s="843"/>
      <c r="E140" s="843"/>
      <c r="F140" s="843"/>
      <c r="G140" s="843"/>
      <c r="H140" s="843"/>
      <c r="I140" s="843"/>
      <c r="J140" s="843"/>
      <c r="K140" s="843"/>
      <c r="L140" s="843"/>
      <c r="M140" s="843"/>
      <c r="N140" s="843"/>
      <c r="O140" s="843"/>
      <c r="P140" s="843"/>
    </row>
    <row r="144" spans="1:17">
      <c r="K144" t="e">
        <f>E30/E144*E151</f>
        <v>#DIV/0!</v>
      </c>
    </row>
    <row r="160" spans="10:10">
      <c r="J160">
        <f>E160-D160</f>
        <v>0</v>
      </c>
    </row>
  </sheetData>
  <mergeCells count="7">
    <mergeCell ref="B139:P139"/>
    <mergeCell ref="B140:P140"/>
    <mergeCell ref="B64:P64"/>
    <mergeCell ref="B135:P135"/>
    <mergeCell ref="B136:P136"/>
    <mergeCell ref="B137:P137"/>
    <mergeCell ref="B138:P138"/>
  </mergeCells>
  <printOptions horizontalCentered="1"/>
  <pageMargins left="1" right="1" top="1" bottom="1" header="0.5" footer="0.5"/>
  <pageSetup scale="41"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rowBreaks count="1" manualBreakCount="1">
    <brk id="66" max="16383" man="1"/>
  </rowBreaks>
  <customProperties>
    <customPr name="_pios_id" r:id="rId2"/>
    <customPr name="EpmWorksheetKeyString_GUID" r:id="rId3"/>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160"/>
  <sheetViews>
    <sheetView tabSelected="1" view="pageBreakPreview" zoomScale="90" zoomScaleNormal="70" zoomScaleSheetLayoutView="90" zoomScalePageLayoutView="55" workbookViewId="0">
      <selection activeCell="E174" sqref="E174"/>
    </sheetView>
  </sheetViews>
  <sheetFormatPr defaultColWidth="8.81640625" defaultRowHeight="14.5"/>
  <cols>
    <col min="1" max="1" width="6.7265625" style="8" bestFit="1" customWidth="1"/>
    <col min="2" max="2" width="8.81640625" customWidth="1"/>
    <col min="3" max="3" width="13" style="6" customWidth="1"/>
    <col min="4" max="4" width="13" customWidth="1"/>
    <col min="5" max="5" width="66.1796875" bestFit="1" customWidth="1"/>
    <col min="6" max="6" width="18.26953125" customWidth="1"/>
    <col min="7" max="7" width="7.7265625" customWidth="1"/>
    <col min="8" max="8" width="21.54296875" bestFit="1" customWidth="1"/>
    <col min="9" max="9" width="17.26953125" customWidth="1"/>
    <col min="10" max="10" width="13.453125" customWidth="1"/>
    <col min="11" max="11" width="25.1796875" customWidth="1"/>
    <col min="12" max="12" width="13" customWidth="1"/>
    <col min="13" max="14" width="16.7265625" customWidth="1"/>
    <col min="15" max="15" width="10.54296875" customWidth="1"/>
    <col min="16" max="16" width="11" customWidth="1"/>
    <col min="17" max="17" width="6.7265625" bestFit="1" customWidth="1"/>
    <col min="18" max="18" width="14.453125" customWidth="1"/>
  </cols>
  <sheetData>
    <row r="1" spans="1:17">
      <c r="B1" s="144" t="s">
        <v>894</v>
      </c>
      <c r="P1" s="15" t="str">
        <f>CONCATENATE("Rate Year: ",'1-BaseTRR'!$G$1)</f>
        <v>Rate Year: 2023</v>
      </c>
    </row>
    <row r="2" spans="1:17">
      <c r="B2" s="144"/>
    </row>
    <row r="3" spans="1:17">
      <c r="B3" s="58" t="s">
        <v>895</v>
      </c>
      <c r="C3" s="54"/>
      <c r="D3" s="58"/>
      <c r="E3" s="55"/>
      <c r="F3" s="55"/>
      <c r="G3" s="55"/>
      <c r="H3" s="55"/>
      <c r="I3" s="55"/>
      <c r="J3" s="55"/>
      <c r="K3" s="55"/>
      <c r="L3" s="55"/>
      <c r="M3" s="55"/>
      <c r="N3" s="55"/>
      <c r="O3" s="55"/>
      <c r="P3" s="55"/>
    </row>
    <row r="4" spans="1:17">
      <c r="B4" s="12"/>
      <c r="D4" s="12"/>
    </row>
    <row r="5" spans="1:17">
      <c r="B5" s="8"/>
      <c r="C5" s="8"/>
      <c r="D5" s="8"/>
      <c r="E5" s="30"/>
      <c r="F5" s="683" t="s">
        <v>371</v>
      </c>
      <c r="G5" s="683" t="s">
        <v>372</v>
      </c>
      <c r="H5" s="683" t="s">
        <v>373</v>
      </c>
      <c r="I5" s="683" t="s">
        <v>374</v>
      </c>
      <c r="J5" s="683" t="s">
        <v>375</v>
      </c>
      <c r="K5" s="683" t="s">
        <v>376</v>
      </c>
      <c r="L5" s="683" t="s">
        <v>377</v>
      </c>
      <c r="M5" s="683" t="s">
        <v>378</v>
      </c>
      <c r="N5" s="683" t="s">
        <v>409</v>
      </c>
      <c r="O5" s="683" t="s">
        <v>525</v>
      </c>
      <c r="P5" s="683" t="s">
        <v>526</v>
      </c>
      <c r="Q5" s="30"/>
    </row>
    <row r="6" spans="1:17" s="225" customFormat="1" ht="29">
      <c r="A6" s="688"/>
      <c r="B6" s="688"/>
      <c r="C6" s="164"/>
      <c r="D6" s="688"/>
      <c r="E6" s="164"/>
      <c r="F6" s="156" t="s">
        <v>896</v>
      </c>
      <c r="G6" s="164"/>
      <c r="H6" s="164" t="s">
        <v>897</v>
      </c>
      <c r="I6" s="156" t="s">
        <v>898</v>
      </c>
      <c r="J6" s="164" t="s">
        <v>899</v>
      </c>
      <c r="K6" s="164"/>
      <c r="L6" s="164"/>
      <c r="M6" s="164" t="s">
        <v>900</v>
      </c>
      <c r="N6" s="164"/>
      <c r="O6" s="164"/>
      <c r="P6" s="164"/>
      <c r="Q6" s="164"/>
    </row>
    <row r="7" spans="1:17">
      <c r="B7" s="12"/>
      <c r="D7" s="12"/>
    </row>
    <row r="8" spans="1:17">
      <c r="F8" s="8" t="s">
        <v>901</v>
      </c>
      <c r="G8" s="848" t="s">
        <v>902</v>
      </c>
      <c r="H8" s="848"/>
      <c r="I8" s="8" t="s">
        <v>903</v>
      </c>
      <c r="J8" s="8" t="s">
        <v>904</v>
      </c>
      <c r="K8" s="684" t="s">
        <v>905</v>
      </c>
      <c r="L8" s="8" t="s">
        <v>906</v>
      </c>
      <c r="M8" s="849" t="s">
        <v>907</v>
      </c>
      <c r="N8" s="849"/>
    </row>
    <row r="9" spans="1:17">
      <c r="A9" s="13" t="s">
        <v>100</v>
      </c>
      <c r="B9" s="13" t="s">
        <v>908</v>
      </c>
      <c r="C9" s="13" t="s">
        <v>647</v>
      </c>
      <c r="D9" s="13" t="s">
        <v>909</v>
      </c>
      <c r="E9" s="13" t="s">
        <v>910</v>
      </c>
      <c r="F9" s="245" t="s">
        <v>911</v>
      </c>
      <c r="G9" s="245" t="s">
        <v>912</v>
      </c>
      <c r="H9" s="680" t="s">
        <v>913</v>
      </c>
      <c r="I9" s="245" t="s">
        <v>914</v>
      </c>
      <c r="J9" s="245" t="s">
        <v>915</v>
      </c>
      <c r="K9" s="685" t="s">
        <v>916</v>
      </c>
      <c r="L9" s="245" t="s">
        <v>917</v>
      </c>
      <c r="M9" s="245" t="s">
        <v>913</v>
      </c>
      <c r="N9" s="245" t="s">
        <v>918</v>
      </c>
      <c r="O9" s="245" t="s">
        <v>919</v>
      </c>
      <c r="P9" s="245" t="s">
        <v>920</v>
      </c>
      <c r="Q9" s="13" t="str">
        <f t="shared" ref="Q9:Q19" si="0">A9</f>
        <v>Line</v>
      </c>
    </row>
    <row r="10" spans="1:17">
      <c r="A10" s="8">
        <v>100</v>
      </c>
      <c r="B10" t="str">
        <f t="shared" ref="B10:B19" si="1">IF(RIGHT(E10,4)="CPUC","ETC","ETP")</f>
        <v>ETP</v>
      </c>
      <c r="C10" s="6">
        <v>352.01</v>
      </c>
      <c r="D10" t="str">
        <f t="shared" ref="D10:D19" si="2">IF(LEN(C10)&gt;=6,"ETP"&amp;LEFT(C10,3)&amp;RIGHT(C10,2),"ETP"&amp;LEFT(C10,3)&amp;"00")</f>
        <v>ETP35201</v>
      </c>
      <c r="E10" t="s">
        <v>921</v>
      </c>
      <c r="F10" s="489">
        <f>'7-PlantInService'!F$24</f>
        <v>362688526</v>
      </c>
      <c r="G10" s="244">
        <v>-20</v>
      </c>
      <c r="H10" s="474">
        <f t="shared" ref="H10:H19" si="3">+F10*G10/100</f>
        <v>-72537705.200000003</v>
      </c>
      <c r="I10" s="489">
        <f>'10-AccDep'!F$26</f>
        <v>116187686</v>
      </c>
      <c r="J10" s="474">
        <f t="shared" ref="J10:J19" si="4">+F10-H10-I10</f>
        <v>319038545.19999999</v>
      </c>
      <c r="K10" s="6" t="s">
        <v>922</v>
      </c>
      <c r="L10" s="237">
        <v>57.45</v>
      </c>
      <c r="M10" s="474">
        <f t="shared" ref="M10:M19" si="5">N10*F10</f>
        <v>5911822.9737999998</v>
      </c>
      <c r="N10" s="29">
        <v>1.6299999999999999E-2</v>
      </c>
      <c r="O10" s="29">
        <v>1.325E-2</v>
      </c>
      <c r="P10" s="29">
        <v>3.0500000000000002E-3</v>
      </c>
      <c r="Q10" s="8">
        <f t="shared" si="0"/>
        <v>100</v>
      </c>
    </row>
    <row r="11" spans="1:17">
      <c r="A11" s="8">
        <f t="shared" ref="A11:A19" si="6">+A10+1</f>
        <v>101</v>
      </c>
      <c r="B11" t="str">
        <f t="shared" si="1"/>
        <v>ETP</v>
      </c>
      <c r="C11" s="6">
        <v>352.02</v>
      </c>
      <c r="D11" t="str">
        <f t="shared" si="2"/>
        <v>ETP35202</v>
      </c>
      <c r="E11" t="s">
        <v>923</v>
      </c>
      <c r="F11" s="489">
        <f>'7-PlantInService'!G$24</f>
        <v>108679506</v>
      </c>
      <c r="G11" s="244">
        <v>-20</v>
      </c>
      <c r="H11" s="474">
        <f t="shared" si="3"/>
        <v>-21735901.199999999</v>
      </c>
      <c r="I11" s="489">
        <f>'10-AccDep'!G$26</f>
        <v>19478026</v>
      </c>
      <c r="J11" s="474">
        <f t="shared" si="4"/>
        <v>110937381.2</v>
      </c>
      <c r="K11" s="6" t="s">
        <v>922</v>
      </c>
      <c r="L11" s="237">
        <v>63.8</v>
      </c>
      <c r="M11" s="474">
        <f t="shared" si="5"/>
        <v>1862766.73284</v>
      </c>
      <c r="N11" s="29">
        <v>1.7139999999999999E-2</v>
      </c>
      <c r="O11" s="29">
        <v>1.414E-2</v>
      </c>
      <c r="P11" s="29">
        <v>3.0000000000000001E-3</v>
      </c>
      <c r="Q11" s="8">
        <f t="shared" si="0"/>
        <v>101</v>
      </c>
    </row>
    <row r="12" spans="1:17">
      <c r="A12" s="8">
        <f t="shared" si="6"/>
        <v>102</v>
      </c>
      <c r="B12" t="str">
        <f t="shared" si="1"/>
        <v>ETP</v>
      </c>
      <c r="C12" s="6">
        <v>353.01</v>
      </c>
      <c r="D12" t="str">
        <f t="shared" si="2"/>
        <v>ETP35301</v>
      </c>
      <c r="E12" t="s">
        <v>924</v>
      </c>
      <c r="F12" s="489">
        <f>'7-PlantInService'!H$24</f>
        <v>7529329070</v>
      </c>
      <c r="G12" s="244">
        <v>-60</v>
      </c>
      <c r="H12" s="474">
        <f t="shared" si="3"/>
        <v>-4517597442</v>
      </c>
      <c r="I12" s="489">
        <f>'10-AccDep'!H$26</f>
        <v>1740070041</v>
      </c>
      <c r="J12" s="474">
        <f t="shared" si="4"/>
        <v>10306856471</v>
      </c>
      <c r="K12" s="6" t="s">
        <v>925</v>
      </c>
      <c r="L12" s="237">
        <v>37.869999999999997</v>
      </c>
      <c r="M12" s="474">
        <f t="shared" si="5"/>
        <v>235743293.18169999</v>
      </c>
      <c r="N12" s="29">
        <v>3.1309999999999998E-2</v>
      </c>
      <c r="O12" s="29">
        <v>2.128E-2</v>
      </c>
      <c r="P12" s="29">
        <v>1.0030000000000001E-2</v>
      </c>
      <c r="Q12" s="8">
        <f t="shared" si="0"/>
        <v>102</v>
      </c>
    </row>
    <row r="13" spans="1:17">
      <c r="A13" s="8">
        <f t="shared" si="6"/>
        <v>103</v>
      </c>
      <c r="B13" t="str">
        <f t="shared" si="1"/>
        <v>ETP</v>
      </c>
      <c r="C13" s="6">
        <v>353.02</v>
      </c>
      <c r="D13" t="str">
        <f t="shared" si="2"/>
        <v>ETP35302</v>
      </c>
      <c r="E13" t="s">
        <v>926</v>
      </c>
      <c r="F13" s="489">
        <f>'7-PlantInService'!I$24</f>
        <v>35991450</v>
      </c>
      <c r="G13" s="244">
        <v>-5</v>
      </c>
      <c r="H13" s="474">
        <f t="shared" si="3"/>
        <v>-1799572.5</v>
      </c>
      <c r="I13" s="489">
        <f>'10-AccDep'!I$26</f>
        <v>16600888</v>
      </c>
      <c r="J13" s="474">
        <f t="shared" si="4"/>
        <v>21190134.5</v>
      </c>
      <c r="K13" s="6" t="s">
        <v>927</v>
      </c>
      <c r="L13" s="237">
        <v>34.299999999999997</v>
      </c>
      <c r="M13" s="474">
        <f t="shared" si="5"/>
        <v>597817.98450000002</v>
      </c>
      <c r="N13" s="29">
        <v>1.661E-2</v>
      </c>
      <c r="O13" s="29">
        <v>1.5440000000000001E-2</v>
      </c>
      <c r="P13" s="29">
        <v>1.17E-3</v>
      </c>
      <c r="Q13" s="8">
        <f t="shared" si="0"/>
        <v>103</v>
      </c>
    </row>
    <row r="14" spans="1:17">
      <c r="A14" s="8">
        <f t="shared" si="6"/>
        <v>104</v>
      </c>
      <c r="B14" t="str">
        <f t="shared" si="1"/>
        <v>ETP</v>
      </c>
      <c r="C14" s="6">
        <v>354</v>
      </c>
      <c r="D14" t="str">
        <f t="shared" si="2"/>
        <v>ETP35400</v>
      </c>
      <c r="E14" t="s">
        <v>928</v>
      </c>
      <c r="F14" s="489">
        <f>'7-PlantInService'!J$24</f>
        <v>1040283564</v>
      </c>
      <c r="G14" s="244">
        <v>-100</v>
      </c>
      <c r="H14" s="474">
        <f t="shared" si="3"/>
        <v>-1040283564</v>
      </c>
      <c r="I14" s="489">
        <f>'10-AccDep'!J$26</f>
        <v>365099162</v>
      </c>
      <c r="J14" s="474">
        <f t="shared" si="4"/>
        <v>1715467966</v>
      </c>
      <c r="K14" s="6" t="s">
        <v>929</v>
      </c>
      <c r="L14" s="237">
        <v>57.03</v>
      </c>
      <c r="M14" s="474">
        <f t="shared" si="5"/>
        <v>23916119.136360001</v>
      </c>
      <c r="N14" s="29">
        <v>2.299E-2</v>
      </c>
      <c r="O14" s="29">
        <v>1.188E-2</v>
      </c>
      <c r="P14" s="29">
        <v>1.111E-2</v>
      </c>
      <c r="Q14" s="8">
        <f t="shared" si="0"/>
        <v>104</v>
      </c>
    </row>
    <row r="15" spans="1:17">
      <c r="A15" s="8">
        <f t="shared" si="6"/>
        <v>105</v>
      </c>
      <c r="B15" t="str">
        <f t="shared" si="1"/>
        <v>ETP</v>
      </c>
      <c r="C15" s="6">
        <v>355</v>
      </c>
      <c r="D15" t="str">
        <f t="shared" si="2"/>
        <v>ETP35500</v>
      </c>
      <c r="E15" t="s">
        <v>930</v>
      </c>
      <c r="F15" s="489">
        <f>'7-PlantInService'!K$24</f>
        <v>2159592516</v>
      </c>
      <c r="G15" s="244">
        <v>-80</v>
      </c>
      <c r="H15" s="474">
        <f t="shared" si="3"/>
        <v>-1727674012.8</v>
      </c>
      <c r="I15" s="489">
        <f>'10-AccDep'!K$26</f>
        <v>408078566</v>
      </c>
      <c r="J15" s="474">
        <f t="shared" si="4"/>
        <v>3479187962.8000002</v>
      </c>
      <c r="K15" s="6" t="s">
        <v>931</v>
      </c>
      <c r="L15" s="237">
        <v>46.49</v>
      </c>
      <c r="M15" s="474">
        <f t="shared" si="5"/>
        <v>68156739.804959998</v>
      </c>
      <c r="N15" s="29">
        <v>3.1559999999999998E-2</v>
      </c>
      <c r="O15" s="29">
        <v>1.7139999999999999E-2</v>
      </c>
      <c r="P15" s="29">
        <v>1.4420000000000001E-2</v>
      </c>
      <c r="Q15" s="8">
        <f t="shared" si="0"/>
        <v>105</v>
      </c>
    </row>
    <row r="16" spans="1:17">
      <c r="A16" s="8">
        <f t="shared" si="6"/>
        <v>106</v>
      </c>
      <c r="B16" t="str">
        <f t="shared" si="1"/>
        <v>ETP</v>
      </c>
      <c r="C16" s="6">
        <v>356</v>
      </c>
      <c r="D16" t="str">
        <f t="shared" si="2"/>
        <v>ETP35600</v>
      </c>
      <c r="E16" t="s">
        <v>932</v>
      </c>
      <c r="F16" s="489">
        <f>'7-PlantInService'!L$24</f>
        <v>2346203987</v>
      </c>
      <c r="G16" s="244">
        <v>-110</v>
      </c>
      <c r="H16" s="474">
        <f t="shared" si="3"/>
        <v>-2580824385.6999998</v>
      </c>
      <c r="I16" s="489">
        <f>'10-AccDep'!L$26</f>
        <v>520519966</v>
      </c>
      <c r="J16" s="474">
        <f t="shared" si="4"/>
        <v>4406508406.6999998</v>
      </c>
      <c r="K16" s="6" t="s">
        <v>933</v>
      </c>
      <c r="L16" s="237">
        <v>51.91</v>
      </c>
      <c r="M16" s="474">
        <f t="shared" si="5"/>
        <v>63910596.60588</v>
      </c>
      <c r="N16" s="29">
        <v>2.724E-2</v>
      </c>
      <c r="O16" s="29">
        <v>1.3610000000000001E-2</v>
      </c>
      <c r="P16" s="29">
        <v>1.363E-2</v>
      </c>
      <c r="Q16" s="8">
        <f t="shared" si="0"/>
        <v>106</v>
      </c>
    </row>
    <row r="17" spans="1:17">
      <c r="A17" s="8">
        <f t="shared" si="6"/>
        <v>107</v>
      </c>
      <c r="B17" t="str">
        <f t="shared" si="1"/>
        <v>ETP</v>
      </c>
      <c r="C17" s="6">
        <v>357</v>
      </c>
      <c r="D17" t="str">
        <f t="shared" si="2"/>
        <v>ETP35700</v>
      </c>
      <c r="E17" t="s">
        <v>934</v>
      </c>
      <c r="F17" s="489">
        <f>'7-PlantInService'!M$24</f>
        <v>518614161</v>
      </c>
      <c r="G17" s="244">
        <v>0</v>
      </c>
      <c r="H17" s="474">
        <f t="shared" si="3"/>
        <v>0</v>
      </c>
      <c r="I17" s="489">
        <f>'10-AccDep'!M$26</f>
        <v>110427376</v>
      </c>
      <c r="J17" s="474">
        <f t="shared" si="4"/>
        <v>408186785</v>
      </c>
      <c r="K17" s="6" t="s">
        <v>935</v>
      </c>
      <c r="L17" s="237">
        <v>54.8</v>
      </c>
      <c r="M17" s="474">
        <f t="shared" si="5"/>
        <v>7929610.5216899998</v>
      </c>
      <c r="N17" s="29">
        <v>1.529E-2</v>
      </c>
      <c r="O17" s="29">
        <v>1.524E-2</v>
      </c>
      <c r="P17" s="29">
        <v>5.0000000000000002E-5</v>
      </c>
      <c r="Q17" s="8">
        <f t="shared" si="0"/>
        <v>107</v>
      </c>
    </row>
    <row r="18" spans="1:17">
      <c r="A18" s="8">
        <f t="shared" si="6"/>
        <v>108</v>
      </c>
      <c r="B18" t="str">
        <f t="shared" si="1"/>
        <v>ETP</v>
      </c>
      <c r="C18" s="6">
        <v>358</v>
      </c>
      <c r="D18" t="str">
        <f t="shared" si="2"/>
        <v>ETP35800</v>
      </c>
      <c r="E18" t="s">
        <v>936</v>
      </c>
      <c r="F18" s="489">
        <f>'7-PlantInService'!N$24</f>
        <v>281575116</v>
      </c>
      <c r="G18" s="244">
        <v>-10</v>
      </c>
      <c r="H18" s="474">
        <f t="shared" si="3"/>
        <v>-28157511.600000001</v>
      </c>
      <c r="I18" s="489">
        <f>'10-AccDep'!N$26</f>
        <v>80894385</v>
      </c>
      <c r="J18" s="474">
        <f t="shared" si="4"/>
        <v>228838242.60000002</v>
      </c>
      <c r="K18" s="6" t="s">
        <v>937</v>
      </c>
      <c r="L18" s="237">
        <v>43.69</v>
      </c>
      <c r="M18" s="474">
        <f t="shared" si="5"/>
        <v>5603344.8084000004</v>
      </c>
      <c r="N18" s="29">
        <v>1.9900000000000001E-2</v>
      </c>
      <c r="O18" s="29">
        <v>1.7639999999999999E-2</v>
      </c>
      <c r="P18" s="29">
        <v>2.2599999999999999E-3</v>
      </c>
      <c r="Q18" s="8">
        <f t="shared" si="0"/>
        <v>108</v>
      </c>
    </row>
    <row r="19" spans="1:17">
      <c r="A19" s="8">
        <f t="shared" si="6"/>
        <v>109</v>
      </c>
      <c r="B19" t="str">
        <f t="shared" si="1"/>
        <v>ETP</v>
      </c>
      <c r="C19" s="6">
        <v>359</v>
      </c>
      <c r="D19" t="str">
        <f t="shared" si="2"/>
        <v>ETP35900</v>
      </c>
      <c r="E19" t="s">
        <v>938</v>
      </c>
      <c r="F19" s="682">
        <f>'7-PlantInService'!O$24</f>
        <v>164958388</v>
      </c>
      <c r="G19" s="686">
        <v>-10</v>
      </c>
      <c r="H19" s="473">
        <f t="shared" si="3"/>
        <v>-16495838.800000001</v>
      </c>
      <c r="I19" s="682">
        <f>'10-AccDep'!O$26</f>
        <v>10635394</v>
      </c>
      <c r="J19" s="473">
        <f t="shared" si="4"/>
        <v>170818832.80000001</v>
      </c>
      <c r="K19" s="681" t="s">
        <v>939</v>
      </c>
      <c r="L19" s="687">
        <v>52.76</v>
      </c>
      <c r="M19" s="473">
        <f t="shared" si="5"/>
        <v>3071525.18456</v>
      </c>
      <c r="N19" s="412">
        <v>1.8620000000000001E-2</v>
      </c>
      <c r="O19" s="412">
        <v>1.6459999999999999E-2</v>
      </c>
      <c r="P19" s="412">
        <v>2.16E-3</v>
      </c>
      <c r="Q19" s="8">
        <f t="shared" si="0"/>
        <v>109</v>
      </c>
    </row>
    <row r="20" spans="1:17">
      <c r="F20" s="485"/>
      <c r="G20" s="244"/>
      <c r="H20" s="490"/>
      <c r="I20" s="485"/>
      <c r="J20" s="490"/>
      <c r="L20" s="242"/>
      <c r="M20" s="490"/>
      <c r="N20" s="242"/>
    </row>
    <row r="21" spans="1:17">
      <c r="A21" s="8">
        <f>+A19+1</f>
        <v>110</v>
      </c>
      <c r="C21" s="14" t="s">
        <v>940</v>
      </c>
      <c r="D21" s="12"/>
      <c r="F21" s="488">
        <f>SUM(F10:F19)</f>
        <v>14547916284</v>
      </c>
      <c r="G21" s="159"/>
      <c r="H21" s="488">
        <f>SUM(H10:H19)</f>
        <v>-10007105933.799999</v>
      </c>
      <c r="I21" s="488">
        <f>SUM(I10:I19)</f>
        <v>3387991490</v>
      </c>
      <c r="J21" s="488">
        <f>SUM(J10:J19)</f>
        <v>21167030727.799999</v>
      </c>
      <c r="K21" s="159"/>
      <c r="L21" s="159"/>
      <c r="M21" s="488">
        <f>SUM(M10:M19)</f>
        <v>416703636.93469</v>
      </c>
      <c r="N21" s="241">
        <f>+M21/F21</f>
        <v>2.8643527279091262E-2</v>
      </c>
      <c r="O21" s="28">
        <v>1.83E-2</v>
      </c>
      <c r="P21" s="28">
        <f>N21-O21</f>
        <v>1.0343527279091262E-2</v>
      </c>
      <c r="Q21" s="8">
        <f>A21</f>
        <v>110</v>
      </c>
    </row>
    <row r="22" spans="1:17">
      <c r="C22" s="14"/>
      <c r="D22" s="12"/>
      <c r="F22" s="240"/>
      <c r="H22" s="239"/>
      <c r="I22" s="240"/>
      <c r="J22" s="239"/>
      <c r="L22" s="238"/>
      <c r="M22" s="239"/>
      <c r="O22" s="122" t="s">
        <v>941</v>
      </c>
      <c r="Q22" s="8"/>
    </row>
    <row r="24" spans="1:17">
      <c r="B24" s="58" t="s">
        <v>942</v>
      </c>
      <c r="C24" s="54"/>
      <c r="D24" s="55"/>
      <c r="E24" s="55"/>
      <c r="F24" s="55"/>
      <c r="G24" s="55"/>
      <c r="H24" s="55"/>
      <c r="I24" s="55"/>
      <c r="J24" s="55"/>
      <c r="K24" s="55"/>
      <c r="L24" s="55"/>
      <c r="M24" s="55"/>
      <c r="N24" s="55"/>
      <c r="O24" s="55"/>
      <c r="P24" s="55"/>
    </row>
    <row r="26" spans="1:17">
      <c r="D26" s="8"/>
      <c r="F26" s="8" t="s">
        <v>943</v>
      </c>
    </row>
    <row r="27" spans="1:17">
      <c r="A27" s="13" t="s">
        <v>100</v>
      </c>
      <c r="B27" s="13" t="s">
        <v>908</v>
      </c>
      <c r="C27" s="13" t="s">
        <v>647</v>
      </c>
      <c r="D27" s="13" t="s">
        <v>909</v>
      </c>
      <c r="E27" s="13" t="s">
        <v>910</v>
      </c>
      <c r="F27" s="169" t="s">
        <v>944</v>
      </c>
      <c r="Q27" s="13" t="str">
        <f t="shared" ref="Q27:Q74" si="7">A27</f>
        <v>Line</v>
      </c>
    </row>
    <row r="28" spans="1:17">
      <c r="A28" s="8">
        <v>200</v>
      </c>
      <c r="D28" t="s">
        <v>945</v>
      </c>
      <c r="E28" t="s">
        <v>946</v>
      </c>
      <c r="F28" s="237">
        <v>0</v>
      </c>
      <c r="Q28" s="8">
        <f t="shared" si="7"/>
        <v>200</v>
      </c>
    </row>
    <row r="29" spans="1:17">
      <c r="A29" s="8">
        <f t="shared" ref="A29:A76" si="8">A28+1</f>
        <v>201</v>
      </c>
      <c r="D29" t="s">
        <v>947</v>
      </c>
      <c r="E29" t="s">
        <v>948</v>
      </c>
      <c r="F29" s="237">
        <v>0</v>
      </c>
      <c r="Q29" s="8">
        <f t="shared" si="7"/>
        <v>201</v>
      </c>
    </row>
    <row r="30" spans="1:17">
      <c r="A30" s="8">
        <f t="shared" si="8"/>
        <v>202</v>
      </c>
      <c r="D30" t="s">
        <v>949</v>
      </c>
      <c r="E30" t="s">
        <v>950</v>
      </c>
      <c r="F30" s="237">
        <v>3.39</v>
      </c>
      <c r="Q30" s="8">
        <f t="shared" si="7"/>
        <v>202</v>
      </c>
    </row>
    <row r="31" spans="1:17">
      <c r="A31" s="8">
        <f t="shared" si="8"/>
        <v>203</v>
      </c>
      <c r="D31" t="s">
        <v>951</v>
      </c>
      <c r="E31" t="s">
        <v>952</v>
      </c>
      <c r="F31" s="237">
        <v>17.36</v>
      </c>
      <c r="Q31" s="8">
        <f t="shared" si="7"/>
        <v>203</v>
      </c>
    </row>
    <row r="32" spans="1:17">
      <c r="A32" s="8">
        <f t="shared" si="8"/>
        <v>204</v>
      </c>
      <c r="D32" t="s">
        <v>953</v>
      </c>
      <c r="E32" t="s">
        <v>954</v>
      </c>
      <c r="F32" s="237">
        <v>9.01</v>
      </c>
      <c r="Q32" s="8">
        <f t="shared" si="7"/>
        <v>204</v>
      </c>
    </row>
    <row r="33" spans="1:17">
      <c r="A33" s="8">
        <f t="shared" si="8"/>
        <v>205</v>
      </c>
      <c r="D33" t="s">
        <v>955</v>
      </c>
      <c r="E33" t="s">
        <v>956</v>
      </c>
      <c r="F33" s="237">
        <v>0</v>
      </c>
      <c r="Q33" s="8">
        <f t="shared" si="7"/>
        <v>205</v>
      </c>
    </row>
    <row r="34" spans="1:17">
      <c r="A34" s="8">
        <f t="shared" si="8"/>
        <v>206</v>
      </c>
      <c r="D34" t="s">
        <v>957</v>
      </c>
      <c r="E34" t="s">
        <v>958</v>
      </c>
      <c r="F34" s="237">
        <v>2.58</v>
      </c>
      <c r="Q34" s="8">
        <f t="shared" si="7"/>
        <v>206</v>
      </c>
    </row>
    <row r="35" spans="1:17">
      <c r="A35" s="8">
        <f t="shared" si="8"/>
        <v>207</v>
      </c>
      <c r="D35" t="s">
        <v>959</v>
      </c>
      <c r="E35" t="s">
        <v>921</v>
      </c>
      <c r="F35" s="237">
        <v>1.97</v>
      </c>
      <c r="Q35" s="8">
        <f t="shared" si="7"/>
        <v>207</v>
      </c>
    </row>
    <row r="36" spans="1:17">
      <c r="A36" s="8">
        <f t="shared" si="8"/>
        <v>208</v>
      </c>
      <c r="D36" t="s">
        <v>960</v>
      </c>
      <c r="E36" t="s">
        <v>961</v>
      </c>
      <c r="F36" s="237">
        <v>20</v>
      </c>
      <c r="Q36" s="8">
        <f t="shared" si="7"/>
        <v>208</v>
      </c>
    </row>
    <row r="37" spans="1:17">
      <c r="A37" s="8">
        <f t="shared" si="8"/>
        <v>209</v>
      </c>
      <c r="D37" t="s">
        <v>962</v>
      </c>
      <c r="E37" t="s">
        <v>963</v>
      </c>
      <c r="F37" s="237">
        <v>27.31</v>
      </c>
      <c r="Q37" s="8">
        <f t="shared" si="7"/>
        <v>209</v>
      </c>
    </row>
    <row r="38" spans="1:17">
      <c r="A38" s="8">
        <f t="shared" si="8"/>
        <v>210</v>
      </c>
      <c r="D38" t="s">
        <v>964</v>
      </c>
      <c r="E38" t="s">
        <v>965</v>
      </c>
      <c r="F38" s="237">
        <v>14.17</v>
      </c>
      <c r="Q38" s="8">
        <f t="shared" si="7"/>
        <v>210</v>
      </c>
    </row>
    <row r="39" spans="1:17">
      <c r="A39" s="8">
        <f t="shared" si="8"/>
        <v>211</v>
      </c>
      <c r="D39" t="s">
        <v>966</v>
      </c>
      <c r="E39" t="s">
        <v>967</v>
      </c>
      <c r="F39" s="237">
        <v>7.5</v>
      </c>
      <c r="Q39" s="8">
        <f t="shared" si="7"/>
        <v>211</v>
      </c>
    </row>
    <row r="40" spans="1:17">
      <c r="A40" s="8">
        <f t="shared" si="8"/>
        <v>212</v>
      </c>
      <c r="D40" t="s">
        <v>968</v>
      </c>
      <c r="E40" t="s">
        <v>969</v>
      </c>
      <c r="F40" s="237">
        <v>27.31</v>
      </c>
      <c r="Q40" s="8">
        <f t="shared" si="7"/>
        <v>212</v>
      </c>
    </row>
    <row r="41" spans="1:17">
      <c r="A41" s="8">
        <f t="shared" si="8"/>
        <v>213</v>
      </c>
      <c r="D41" t="s">
        <v>970</v>
      </c>
      <c r="E41" t="s">
        <v>971</v>
      </c>
      <c r="F41" s="237">
        <v>1.36</v>
      </c>
      <c r="Q41" s="8">
        <f t="shared" si="7"/>
        <v>213</v>
      </c>
    </row>
    <row r="42" spans="1:17">
      <c r="A42" s="8">
        <f t="shared" si="8"/>
        <v>214</v>
      </c>
      <c r="D42" t="s">
        <v>972</v>
      </c>
      <c r="E42" t="s">
        <v>973</v>
      </c>
      <c r="F42" s="237">
        <v>13.48</v>
      </c>
      <c r="Q42" s="8">
        <f t="shared" si="7"/>
        <v>214</v>
      </c>
    </row>
    <row r="43" spans="1:17">
      <c r="A43" s="8">
        <f t="shared" si="8"/>
        <v>215</v>
      </c>
      <c r="D43" t="s">
        <v>974</v>
      </c>
      <c r="E43" t="s">
        <v>975</v>
      </c>
      <c r="F43" s="237">
        <v>9.92</v>
      </c>
      <c r="Q43" s="8">
        <f t="shared" si="7"/>
        <v>215</v>
      </c>
    </row>
    <row r="44" spans="1:17">
      <c r="A44" s="8">
        <f t="shared" si="8"/>
        <v>216</v>
      </c>
      <c r="D44" t="s">
        <v>976</v>
      </c>
      <c r="E44" t="s">
        <v>977</v>
      </c>
      <c r="F44" s="237">
        <v>10.130000000000001</v>
      </c>
      <c r="Q44" s="8">
        <f t="shared" si="7"/>
        <v>216</v>
      </c>
    </row>
    <row r="45" spans="1:17">
      <c r="A45" s="8">
        <f t="shared" si="8"/>
        <v>217</v>
      </c>
      <c r="D45" t="s">
        <v>978</v>
      </c>
      <c r="E45" t="s">
        <v>979</v>
      </c>
      <c r="F45" s="237">
        <v>10.11</v>
      </c>
      <c r="Q45" s="8">
        <f t="shared" si="7"/>
        <v>217</v>
      </c>
    </row>
    <row r="46" spans="1:17">
      <c r="A46" s="8">
        <f t="shared" si="8"/>
        <v>218</v>
      </c>
      <c r="D46" t="s">
        <v>980</v>
      </c>
      <c r="E46" t="s">
        <v>981</v>
      </c>
      <c r="F46" s="237">
        <v>9.1</v>
      </c>
      <c r="Q46" s="8">
        <f t="shared" si="7"/>
        <v>218</v>
      </c>
    </row>
    <row r="47" spans="1:17">
      <c r="A47" s="8">
        <f t="shared" si="8"/>
        <v>219</v>
      </c>
      <c r="D47" t="s">
        <v>982</v>
      </c>
      <c r="E47" t="s">
        <v>983</v>
      </c>
      <c r="F47" s="237">
        <v>6.8199999999999994</v>
      </c>
      <c r="Q47" s="8">
        <f t="shared" si="7"/>
        <v>219</v>
      </c>
    </row>
    <row r="48" spans="1:17">
      <c r="A48" s="8">
        <f t="shared" si="8"/>
        <v>220</v>
      </c>
      <c r="D48" t="s">
        <v>984</v>
      </c>
      <c r="E48" t="s">
        <v>985</v>
      </c>
      <c r="F48" s="237">
        <v>4.1500000000000004</v>
      </c>
      <c r="Q48" s="8">
        <f t="shared" si="7"/>
        <v>220</v>
      </c>
    </row>
    <row r="49" spans="1:17">
      <c r="A49" s="8">
        <f t="shared" si="8"/>
        <v>221</v>
      </c>
      <c r="D49" t="s">
        <v>986</v>
      </c>
      <c r="E49" t="s">
        <v>987</v>
      </c>
      <c r="F49" s="237">
        <v>3.07</v>
      </c>
      <c r="Q49" s="8">
        <f t="shared" si="7"/>
        <v>221</v>
      </c>
    </row>
    <row r="50" spans="1:17">
      <c r="A50" s="8">
        <f t="shared" si="8"/>
        <v>222</v>
      </c>
      <c r="D50" t="s">
        <v>988</v>
      </c>
      <c r="E50" t="s">
        <v>989</v>
      </c>
      <c r="F50" s="237">
        <v>6.25</v>
      </c>
      <c r="Q50" s="8">
        <f t="shared" si="7"/>
        <v>222</v>
      </c>
    </row>
    <row r="51" spans="1:17">
      <c r="A51" s="8">
        <f t="shared" si="8"/>
        <v>223</v>
      </c>
      <c r="D51" t="s">
        <v>990</v>
      </c>
      <c r="E51" t="s">
        <v>991</v>
      </c>
      <c r="F51" s="237">
        <v>3.34</v>
      </c>
      <c r="Q51" s="8">
        <f t="shared" si="7"/>
        <v>223</v>
      </c>
    </row>
    <row r="52" spans="1:17">
      <c r="A52" s="8">
        <f t="shared" si="8"/>
        <v>224</v>
      </c>
      <c r="D52" t="s">
        <v>992</v>
      </c>
      <c r="E52" t="s">
        <v>993</v>
      </c>
      <c r="F52" s="237">
        <v>7.77</v>
      </c>
      <c r="Q52" s="8">
        <f t="shared" si="7"/>
        <v>224</v>
      </c>
    </row>
    <row r="53" spans="1:17">
      <c r="A53" s="8">
        <f t="shared" si="8"/>
        <v>225</v>
      </c>
      <c r="D53" t="s">
        <v>994</v>
      </c>
      <c r="E53" t="s">
        <v>995</v>
      </c>
      <c r="F53" s="237">
        <v>6.45</v>
      </c>
      <c r="Q53" s="8">
        <f t="shared" si="7"/>
        <v>225</v>
      </c>
    </row>
    <row r="54" spans="1:17">
      <c r="A54" s="8">
        <f t="shared" si="8"/>
        <v>226</v>
      </c>
      <c r="D54" t="s">
        <v>996</v>
      </c>
      <c r="E54" t="s">
        <v>997</v>
      </c>
      <c r="F54" s="237">
        <v>14.45</v>
      </c>
      <c r="Q54" s="8">
        <f t="shared" si="7"/>
        <v>226</v>
      </c>
    </row>
    <row r="55" spans="1:17">
      <c r="A55" s="8">
        <f t="shared" si="8"/>
        <v>227</v>
      </c>
      <c r="D55" t="s">
        <v>998</v>
      </c>
      <c r="E55" t="s">
        <v>999</v>
      </c>
      <c r="F55" s="237">
        <v>20.47</v>
      </c>
      <c r="Q55" s="8">
        <f t="shared" si="7"/>
        <v>227</v>
      </c>
    </row>
    <row r="56" spans="1:17">
      <c r="A56" s="8">
        <f t="shared" si="8"/>
        <v>228</v>
      </c>
      <c r="D56" t="s">
        <v>1000</v>
      </c>
      <c r="E56" t="s">
        <v>1001</v>
      </c>
      <c r="F56" s="237">
        <v>15.25</v>
      </c>
      <c r="Q56" s="8">
        <f t="shared" si="7"/>
        <v>228</v>
      </c>
    </row>
    <row r="57" spans="1:17">
      <c r="A57" s="8">
        <f t="shared" si="8"/>
        <v>229</v>
      </c>
      <c r="D57" t="s">
        <v>1002</v>
      </c>
      <c r="E57" t="s">
        <v>1003</v>
      </c>
      <c r="F57" s="237">
        <v>14.61</v>
      </c>
      <c r="Q57" s="8">
        <f t="shared" si="7"/>
        <v>229</v>
      </c>
    </row>
    <row r="58" spans="1:17">
      <c r="A58" s="8">
        <f t="shared" si="8"/>
        <v>230</v>
      </c>
      <c r="D58" t="s">
        <v>1004</v>
      </c>
      <c r="E58" t="s">
        <v>1005</v>
      </c>
      <c r="F58" s="237">
        <v>4.79</v>
      </c>
      <c r="Q58" s="8">
        <f t="shared" si="7"/>
        <v>230</v>
      </c>
    </row>
    <row r="59" spans="1:17">
      <c r="A59" s="8">
        <f t="shared" si="8"/>
        <v>231</v>
      </c>
      <c r="D59" t="s">
        <v>1006</v>
      </c>
      <c r="E59" t="s">
        <v>1007</v>
      </c>
      <c r="F59" s="237">
        <v>5.14</v>
      </c>
      <c r="Q59" s="8">
        <f t="shared" si="7"/>
        <v>231</v>
      </c>
    </row>
    <row r="60" spans="1:17">
      <c r="A60" s="8">
        <f t="shared" si="8"/>
        <v>232</v>
      </c>
      <c r="D60" t="s">
        <v>1008</v>
      </c>
      <c r="E60" t="s">
        <v>1009</v>
      </c>
      <c r="F60" s="237">
        <v>0.83</v>
      </c>
      <c r="Q60" s="8">
        <f t="shared" si="7"/>
        <v>232</v>
      </c>
    </row>
    <row r="61" spans="1:17">
      <c r="A61" s="8">
        <f t="shared" si="8"/>
        <v>233</v>
      </c>
      <c r="D61" t="s">
        <v>1010</v>
      </c>
      <c r="E61" t="s">
        <v>1011</v>
      </c>
      <c r="F61" s="237">
        <v>4.87</v>
      </c>
      <c r="Q61" s="8">
        <f t="shared" si="7"/>
        <v>233</v>
      </c>
    </row>
    <row r="62" spans="1:17">
      <c r="A62" s="8">
        <f t="shared" si="8"/>
        <v>234</v>
      </c>
      <c r="D62" t="s">
        <v>1012</v>
      </c>
      <c r="E62" t="s">
        <v>1013</v>
      </c>
      <c r="F62" s="237">
        <v>5.36</v>
      </c>
      <c r="Q62" s="8">
        <f t="shared" si="7"/>
        <v>234</v>
      </c>
    </row>
    <row r="63" spans="1:17">
      <c r="A63" s="8">
        <f t="shared" si="8"/>
        <v>235</v>
      </c>
      <c r="D63" t="s">
        <v>1014</v>
      </c>
      <c r="E63" t="s">
        <v>1015</v>
      </c>
      <c r="F63" s="237">
        <v>0.21</v>
      </c>
      <c r="Q63" s="8">
        <f t="shared" si="7"/>
        <v>235</v>
      </c>
    </row>
    <row r="64" spans="1:17">
      <c r="A64" s="8">
        <f t="shared" si="8"/>
        <v>236</v>
      </c>
      <c r="D64" t="s">
        <v>1016</v>
      </c>
      <c r="E64" t="s">
        <v>1017</v>
      </c>
      <c r="F64" s="237">
        <v>0</v>
      </c>
      <c r="Q64" s="8">
        <f t="shared" si="7"/>
        <v>236</v>
      </c>
    </row>
    <row r="65" spans="1:17">
      <c r="A65" s="8">
        <f t="shared" si="8"/>
        <v>237</v>
      </c>
      <c r="D65" t="s">
        <v>1018</v>
      </c>
      <c r="E65" t="s">
        <v>958</v>
      </c>
      <c r="F65" s="237">
        <v>2.99</v>
      </c>
      <c r="Q65" s="8">
        <f t="shared" si="7"/>
        <v>237</v>
      </c>
    </row>
    <row r="66" spans="1:17">
      <c r="A66" s="8">
        <f t="shared" si="8"/>
        <v>238</v>
      </c>
      <c r="D66" t="s">
        <v>1019</v>
      </c>
      <c r="E66" t="s">
        <v>921</v>
      </c>
      <c r="F66" s="237">
        <v>1.58</v>
      </c>
      <c r="Q66" s="8">
        <f t="shared" si="7"/>
        <v>238</v>
      </c>
    </row>
    <row r="67" spans="1:17">
      <c r="A67" s="8">
        <f t="shared" si="8"/>
        <v>239</v>
      </c>
      <c r="D67" t="s">
        <v>1020</v>
      </c>
      <c r="E67" t="s">
        <v>967</v>
      </c>
      <c r="F67" s="237">
        <v>5.93</v>
      </c>
      <c r="Q67" s="8">
        <f t="shared" si="7"/>
        <v>239</v>
      </c>
    </row>
    <row r="68" spans="1:17">
      <c r="A68" s="8">
        <f t="shared" si="8"/>
        <v>240</v>
      </c>
      <c r="D68" t="s">
        <v>1021</v>
      </c>
      <c r="E68" t="s">
        <v>1022</v>
      </c>
      <c r="F68" s="237">
        <v>3.94</v>
      </c>
      <c r="Q68" s="8">
        <f t="shared" si="7"/>
        <v>240</v>
      </c>
    </row>
    <row r="69" spans="1:17">
      <c r="A69" s="8">
        <f t="shared" si="8"/>
        <v>241</v>
      </c>
      <c r="D69" t="s">
        <v>1023</v>
      </c>
      <c r="E69" t="s">
        <v>993</v>
      </c>
      <c r="F69" s="237">
        <v>4.74</v>
      </c>
      <c r="Q69" s="8">
        <f t="shared" si="7"/>
        <v>241</v>
      </c>
    </row>
    <row r="70" spans="1:17">
      <c r="A70" s="8">
        <f t="shared" si="8"/>
        <v>242</v>
      </c>
      <c r="D70" t="s">
        <v>1024</v>
      </c>
      <c r="E70" t="s">
        <v>995</v>
      </c>
      <c r="F70" s="237">
        <v>7.89</v>
      </c>
      <c r="Q70" s="8">
        <f t="shared" si="7"/>
        <v>242</v>
      </c>
    </row>
    <row r="71" spans="1:17">
      <c r="A71" s="8">
        <f t="shared" si="8"/>
        <v>243</v>
      </c>
      <c r="D71" t="s">
        <v>1025</v>
      </c>
      <c r="E71" t="s">
        <v>1026</v>
      </c>
      <c r="F71" s="237">
        <v>6.92</v>
      </c>
      <c r="Q71" s="8">
        <f t="shared" si="7"/>
        <v>243</v>
      </c>
    </row>
    <row r="72" spans="1:17">
      <c r="A72" s="8">
        <f t="shared" si="8"/>
        <v>244</v>
      </c>
      <c r="D72" t="s">
        <v>1027</v>
      </c>
      <c r="E72" t="s">
        <v>1011</v>
      </c>
      <c r="F72" s="237">
        <v>4.96</v>
      </c>
      <c r="Q72" s="8">
        <f t="shared" si="7"/>
        <v>244</v>
      </c>
    </row>
    <row r="73" spans="1:17">
      <c r="A73" s="8">
        <f t="shared" si="8"/>
        <v>245</v>
      </c>
      <c r="D73" t="s">
        <v>1028</v>
      </c>
      <c r="E73" t="s">
        <v>1013</v>
      </c>
      <c r="F73" s="237">
        <v>6.8499999999999988</v>
      </c>
      <c r="Q73" s="8">
        <f t="shared" si="7"/>
        <v>245</v>
      </c>
    </row>
    <row r="74" spans="1:17">
      <c r="A74" s="8">
        <f t="shared" si="8"/>
        <v>246</v>
      </c>
      <c r="D74" t="s">
        <v>1029</v>
      </c>
      <c r="E74" t="s">
        <v>1030</v>
      </c>
      <c r="F74" s="237">
        <v>2.4</v>
      </c>
      <c r="Q74" s="8">
        <f t="shared" si="7"/>
        <v>246</v>
      </c>
    </row>
    <row r="75" spans="1:17">
      <c r="A75" s="8">
        <f t="shared" si="8"/>
        <v>247</v>
      </c>
      <c r="D75" t="s">
        <v>1031</v>
      </c>
      <c r="E75" t="s">
        <v>1032</v>
      </c>
      <c r="F75" s="237">
        <v>0</v>
      </c>
      <c r="Q75" s="8"/>
    </row>
    <row r="76" spans="1:17">
      <c r="A76" s="8">
        <f t="shared" si="8"/>
        <v>248</v>
      </c>
      <c r="D76" t="s">
        <v>1033</v>
      </c>
      <c r="E76" t="s">
        <v>1034</v>
      </c>
      <c r="F76" s="237">
        <v>20.420000000000002</v>
      </c>
      <c r="Q76" s="8"/>
    </row>
    <row r="78" spans="1:17">
      <c r="B78" s="358" t="s">
        <v>306</v>
      </c>
      <c r="C78"/>
    </row>
    <row r="79" spans="1:17">
      <c r="B79" s="6" t="s">
        <v>1035</v>
      </c>
      <c r="C79"/>
    </row>
    <row r="80" spans="1:17">
      <c r="B80" s="17" t="s">
        <v>1036</v>
      </c>
      <c r="C80" s="17"/>
      <c r="D80" s="17"/>
      <c r="E80" s="17"/>
      <c r="F80" s="17"/>
      <c r="G80" s="17"/>
      <c r="H80" s="17"/>
      <c r="I80" s="17"/>
      <c r="J80" s="17"/>
      <c r="K80" s="17"/>
      <c r="L80" s="17"/>
      <c r="M80" s="17"/>
      <c r="N80" s="17"/>
      <c r="O80" s="17"/>
      <c r="P80" s="17"/>
    </row>
    <row r="81" spans="2:16" ht="15" customHeight="1">
      <c r="B81" s="17" t="s">
        <v>1037</v>
      </c>
      <c r="C81" s="17"/>
      <c r="D81" s="17"/>
      <c r="E81" s="17"/>
      <c r="F81" s="17"/>
      <c r="G81" s="17"/>
      <c r="H81" s="17"/>
      <c r="I81" s="17"/>
      <c r="J81" s="17"/>
      <c r="K81" s="17"/>
      <c r="L81" s="17"/>
      <c r="M81" s="17"/>
      <c r="N81" s="17"/>
      <c r="O81" s="17"/>
      <c r="P81" s="17"/>
    </row>
    <row r="82" spans="2:16">
      <c r="B82" s="17" t="s">
        <v>1038</v>
      </c>
      <c r="C82" s="17"/>
      <c r="D82" s="17"/>
      <c r="E82" s="17"/>
      <c r="F82" s="17"/>
      <c r="G82" s="17"/>
      <c r="H82" s="17"/>
      <c r="I82" s="17"/>
      <c r="J82" s="17"/>
      <c r="K82" s="17"/>
      <c r="L82" s="17"/>
      <c r="M82" s="17"/>
      <c r="N82" s="17"/>
      <c r="O82" s="17"/>
      <c r="P82" s="17"/>
    </row>
    <row r="144" spans="11:11">
      <c r="K144" t="e">
        <f>E30/E144*E151</f>
        <v>#VALUE!</v>
      </c>
    </row>
    <row r="160" spans="10:10">
      <c r="J160">
        <f>E160-D160</f>
        <v>0</v>
      </c>
    </row>
  </sheetData>
  <mergeCells count="2">
    <mergeCell ref="G8:H8"/>
    <mergeCell ref="M8:N8"/>
  </mergeCells>
  <printOptions horizontalCentered="1"/>
  <pageMargins left="1" right="1" top="1" bottom="1" header="0.5" footer="0.5"/>
  <pageSetup scale="39"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160"/>
  <sheetViews>
    <sheetView tabSelected="1" view="pageBreakPreview" topLeftCell="D30" zoomScaleNormal="85" zoomScaleSheetLayoutView="100" zoomScalePageLayoutView="55" workbookViewId="0">
      <selection activeCell="E174" sqref="E174"/>
    </sheetView>
  </sheetViews>
  <sheetFormatPr defaultColWidth="9.1796875" defaultRowHeight="14.5"/>
  <cols>
    <col min="1" max="1" width="5.453125" customWidth="1"/>
    <col min="2" max="2" width="27.453125" customWidth="1"/>
    <col min="3" max="3" width="18.81640625" customWidth="1"/>
    <col min="4" max="4" width="21.81640625" customWidth="1"/>
    <col min="5" max="5" width="19.26953125" customWidth="1"/>
    <col min="6" max="6" width="20" customWidth="1"/>
    <col min="7" max="7" width="20.453125" customWidth="1"/>
    <col min="8" max="9" width="17.81640625" customWidth="1"/>
    <col min="10" max="10" width="13.453125" customWidth="1"/>
    <col min="11" max="11" width="25.1796875" customWidth="1"/>
    <col min="12" max="14" width="12.7265625" customWidth="1"/>
    <col min="15" max="15" width="2.453125" customWidth="1"/>
    <col min="16" max="18" width="12.7265625" customWidth="1"/>
  </cols>
  <sheetData>
    <row r="1" spans="1:10">
      <c r="B1" s="144" t="s">
        <v>38</v>
      </c>
      <c r="I1" s="15" t="str">
        <f>CONCATENATE("Prior Year: ",'1-BaseTRR'!$G$2)</f>
        <v>Prior Year: 2021</v>
      </c>
    </row>
    <row r="2" spans="1:10">
      <c r="B2" s="119" t="s">
        <v>131</v>
      </c>
      <c r="C2" s="50"/>
      <c r="I2" s="15"/>
    </row>
    <row r="4" spans="1:10">
      <c r="B4" s="120" t="s">
        <v>1039</v>
      </c>
      <c r="C4" s="55"/>
      <c r="D4" s="55"/>
      <c r="E4" s="55"/>
      <c r="F4" s="55"/>
      <c r="G4" s="55"/>
      <c r="H4" s="55"/>
      <c r="I4" s="55"/>
    </row>
    <row r="5" spans="1:10">
      <c r="B5" s="17" t="s">
        <v>1040</v>
      </c>
      <c r="D5" s="246"/>
      <c r="E5" s="247"/>
    </row>
    <row r="6" spans="1:10">
      <c r="D6" s="246"/>
      <c r="E6" s="247"/>
    </row>
    <row r="7" spans="1:10">
      <c r="D7" s="124" t="s">
        <v>371</v>
      </c>
      <c r="E7" s="124" t="s">
        <v>372</v>
      </c>
      <c r="F7" s="124" t="s">
        <v>373</v>
      </c>
      <c r="G7" s="124" t="s">
        <v>374</v>
      </c>
      <c r="H7" s="124"/>
    </row>
    <row r="8" spans="1:10" ht="29">
      <c r="B8" s="248"/>
      <c r="C8" s="156"/>
      <c r="D8" s="198" t="s">
        <v>111</v>
      </c>
      <c r="E8" s="249" t="s">
        <v>203</v>
      </c>
      <c r="F8" s="248" t="s">
        <v>1041</v>
      </c>
      <c r="G8" s="248" t="s">
        <v>1042</v>
      </c>
    </row>
    <row r="9" spans="1:10">
      <c r="D9" s="250"/>
      <c r="E9" s="247"/>
      <c r="F9" s="251"/>
      <c r="G9" s="251"/>
    </row>
    <row r="10" spans="1:10">
      <c r="D10" s="252" t="s">
        <v>1043</v>
      </c>
      <c r="E10" s="252" t="s">
        <v>465</v>
      </c>
      <c r="F10" s="251"/>
      <c r="G10" s="251"/>
    </row>
    <row r="11" spans="1:10">
      <c r="B11" s="253"/>
      <c r="C11" s="254"/>
      <c r="D11" s="252" t="s">
        <v>1044</v>
      </c>
      <c r="E11" s="252" t="s">
        <v>727</v>
      </c>
      <c r="F11" s="252" t="s">
        <v>746</v>
      </c>
      <c r="G11" s="252" t="s">
        <v>747</v>
      </c>
    </row>
    <row r="12" spans="1:10">
      <c r="A12" s="255" t="s">
        <v>1045</v>
      </c>
      <c r="B12" s="256" t="s">
        <v>384</v>
      </c>
      <c r="C12" s="256" t="s">
        <v>420</v>
      </c>
      <c r="D12" s="256" t="s">
        <v>1046</v>
      </c>
      <c r="E12" s="256" t="s">
        <v>1047</v>
      </c>
      <c r="F12" s="256" t="s">
        <v>770</v>
      </c>
      <c r="G12" s="256" t="s">
        <v>770</v>
      </c>
      <c r="J12" s="255" t="str">
        <f t="shared" ref="J12:J26" si="0">A12</f>
        <v xml:space="preserve">Line </v>
      </c>
    </row>
    <row r="13" spans="1:10">
      <c r="A13" s="133">
        <v>100</v>
      </c>
      <c r="B13" s="254" t="s">
        <v>428</v>
      </c>
      <c r="C13" s="257">
        <f>'1-BaseTRR'!$G$2-1</f>
        <v>2020</v>
      </c>
      <c r="D13" s="492">
        <v>533278843</v>
      </c>
      <c r="E13" s="492">
        <v>81295878.693463787</v>
      </c>
      <c r="F13" s="493">
        <f>+E13*'24-Allocators'!$C$43</f>
        <v>28685749.760076642</v>
      </c>
      <c r="G13" s="493">
        <f>+E13*'24-Allocators'!$C$44</f>
        <v>52610128.933387153</v>
      </c>
      <c r="J13" s="133">
        <f t="shared" si="0"/>
        <v>100</v>
      </c>
    </row>
    <row r="14" spans="1:10">
      <c r="A14" s="133">
        <f t="shared" ref="A14:A26" si="1">A13+1</f>
        <v>101</v>
      </c>
      <c r="B14" s="254" t="s">
        <v>430</v>
      </c>
      <c r="C14" s="257">
        <f>'1-BaseTRR'!$G$2</f>
        <v>2021</v>
      </c>
      <c r="D14" s="353">
        <v>533671883</v>
      </c>
      <c r="E14" s="353">
        <v>90820670</v>
      </c>
      <c r="F14" s="493">
        <f>+E14*'24-Allocators'!$C$43</f>
        <v>32046630.832123149</v>
      </c>
      <c r="G14" s="493">
        <f>+E14*'24-Allocators'!$C$44</f>
        <v>58774039.167876855</v>
      </c>
      <c r="J14" s="133">
        <f t="shared" si="0"/>
        <v>101</v>
      </c>
    </row>
    <row r="15" spans="1:10">
      <c r="A15" s="133">
        <f t="shared" si="1"/>
        <v>102</v>
      </c>
      <c r="B15" s="254" t="s">
        <v>431</v>
      </c>
      <c r="C15" s="257">
        <f>'1-BaseTRR'!$G$2</f>
        <v>2021</v>
      </c>
      <c r="D15" s="353">
        <v>541749268</v>
      </c>
      <c r="E15" s="353">
        <v>91856695</v>
      </c>
      <c r="F15" s="493">
        <f>+E15*'24-Allocators'!$C$43</f>
        <v>32412198.612099342</v>
      </c>
      <c r="G15" s="493">
        <f>+E15*'24-Allocators'!$C$44</f>
        <v>59444496.387900665</v>
      </c>
      <c r="J15" s="133">
        <f t="shared" si="0"/>
        <v>102</v>
      </c>
    </row>
    <row r="16" spans="1:10">
      <c r="A16" s="133">
        <f t="shared" si="1"/>
        <v>103</v>
      </c>
      <c r="B16" s="254" t="s">
        <v>432</v>
      </c>
      <c r="C16" s="257">
        <f>'1-BaseTRR'!$G$2</f>
        <v>2021</v>
      </c>
      <c r="D16" s="353">
        <v>532623926</v>
      </c>
      <c r="E16" s="353">
        <v>91722048</v>
      </c>
      <c r="F16" s="493">
        <f>+E16*'24-Allocators'!$C$43</f>
        <v>32364687.591737423</v>
      </c>
      <c r="G16" s="493">
        <f>+E16*'24-Allocators'!$C$44</f>
        <v>59357360.408262581</v>
      </c>
      <c r="J16" s="133">
        <f t="shared" si="0"/>
        <v>103</v>
      </c>
    </row>
    <row r="17" spans="1:10">
      <c r="A17" s="133">
        <f t="shared" si="1"/>
        <v>104</v>
      </c>
      <c r="B17" s="254" t="s">
        <v>433</v>
      </c>
      <c r="C17" s="257">
        <f>'1-BaseTRR'!$G$2</f>
        <v>2021</v>
      </c>
      <c r="D17" s="353">
        <v>522616735</v>
      </c>
      <c r="E17" s="353">
        <v>90785943</v>
      </c>
      <c r="F17" s="493">
        <f>+E17*'24-Allocators'!$C$43</f>
        <v>32034377.197032072</v>
      </c>
      <c r="G17" s="493">
        <f>+E17*'24-Allocators'!$C$44</f>
        <v>58751565.802967936</v>
      </c>
      <c r="J17" s="133">
        <f t="shared" si="0"/>
        <v>104</v>
      </c>
    </row>
    <row r="18" spans="1:10">
      <c r="A18" s="133">
        <f t="shared" si="1"/>
        <v>105</v>
      </c>
      <c r="B18" s="254" t="s">
        <v>395</v>
      </c>
      <c r="C18" s="257">
        <f>'1-BaseTRR'!$G$2</f>
        <v>2021</v>
      </c>
      <c r="D18" s="353">
        <v>515834186</v>
      </c>
      <c r="E18" s="353">
        <v>89134459</v>
      </c>
      <c r="F18" s="493">
        <f>+E18*'24-Allocators'!$C$43</f>
        <v>31451640.931453343</v>
      </c>
      <c r="G18" s="493">
        <f>+E18*'24-Allocators'!$C$44</f>
        <v>57682818.06854666</v>
      </c>
      <c r="J18" s="133">
        <f t="shared" si="0"/>
        <v>105</v>
      </c>
    </row>
    <row r="19" spans="1:10">
      <c r="A19" s="133">
        <f t="shared" si="1"/>
        <v>106</v>
      </c>
      <c r="B19" s="254" t="s">
        <v>531</v>
      </c>
      <c r="C19" s="257">
        <f>'1-BaseTRR'!$G$2</f>
        <v>2021</v>
      </c>
      <c r="D19" s="353">
        <v>521271397</v>
      </c>
      <c r="E19" s="353">
        <v>89838449</v>
      </c>
      <c r="F19" s="493">
        <f>+E19*'24-Allocators'!$C$43</f>
        <v>31700048.123775382</v>
      </c>
      <c r="G19" s="493">
        <f>+E19*'24-Allocators'!$C$44</f>
        <v>58138400.876224622</v>
      </c>
      <c r="J19" s="133">
        <f t="shared" si="0"/>
        <v>106</v>
      </c>
    </row>
    <row r="20" spans="1:10">
      <c r="A20" s="133">
        <f t="shared" si="1"/>
        <v>107</v>
      </c>
      <c r="B20" s="254" t="s">
        <v>435</v>
      </c>
      <c r="C20" s="257">
        <f>'1-BaseTRR'!$G$2</f>
        <v>2021</v>
      </c>
      <c r="D20" s="353">
        <v>515096025</v>
      </c>
      <c r="E20" s="353">
        <v>88973817</v>
      </c>
      <c r="F20" s="493">
        <f>+E20*'24-Allocators'!$C$43</f>
        <v>31394957.415794034</v>
      </c>
      <c r="G20" s="493">
        <f>+E20*'24-Allocators'!$C$44</f>
        <v>57578859.58420597</v>
      </c>
      <c r="J20" s="133">
        <f t="shared" si="0"/>
        <v>107</v>
      </c>
    </row>
    <row r="21" spans="1:10">
      <c r="A21" s="133">
        <f t="shared" si="1"/>
        <v>108</v>
      </c>
      <c r="B21" s="254" t="s">
        <v>436</v>
      </c>
      <c r="C21" s="257">
        <f>'1-BaseTRR'!$G$2</f>
        <v>2021</v>
      </c>
      <c r="D21" s="353">
        <v>514258914</v>
      </c>
      <c r="E21" s="353">
        <v>85920007</v>
      </c>
      <c r="F21" s="493">
        <f>+E21*'24-Allocators'!$C$43</f>
        <v>30317401.814173322</v>
      </c>
      <c r="G21" s="493">
        <f>+E21*'24-Allocators'!$C$44</f>
        <v>55602605.185826682</v>
      </c>
      <c r="J21" s="133">
        <f t="shared" si="0"/>
        <v>108</v>
      </c>
    </row>
    <row r="22" spans="1:10">
      <c r="A22" s="133">
        <f t="shared" si="1"/>
        <v>109</v>
      </c>
      <c r="B22" s="254" t="s">
        <v>437</v>
      </c>
      <c r="C22" s="257">
        <f>'1-BaseTRR'!$G$2</f>
        <v>2021</v>
      </c>
      <c r="D22" s="353">
        <v>521893760</v>
      </c>
      <c r="E22" s="353">
        <v>86404776</v>
      </c>
      <c r="F22" s="493">
        <f>+E22*'24-Allocators'!$C$43</f>
        <v>30488455.531150497</v>
      </c>
      <c r="G22" s="493">
        <f>+E22*'24-Allocators'!$C$44</f>
        <v>55916320.468849503</v>
      </c>
      <c r="J22" s="133">
        <f t="shared" si="0"/>
        <v>109</v>
      </c>
    </row>
    <row r="23" spans="1:10">
      <c r="A23" s="133">
        <f t="shared" si="1"/>
        <v>110</v>
      </c>
      <c r="B23" s="254" t="s">
        <v>438</v>
      </c>
      <c r="C23" s="257">
        <f>'1-BaseTRR'!$G$2</f>
        <v>2021</v>
      </c>
      <c r="D23" s="353">
        <v>526851821</v>
      </c>
      <c r="E23" s="353">
        <v>87245968</v>
      </c>
      <c r="F23" s="493">
        <f>+E23*'24-Allocators'!$C$43</f>
        <v>30785275.291266069</v>
      </c>
      <c r="G23" s="493">
        <f>+E23*'24-Allocators'!$C$44</f>
        <v>56460692.708733939</v>
      </c>
      <c r="J23" s="133">
        <f t="shared" si="0"/>
        <v>110</v>
      </c>
    </row>
    <row r="24" spans="1:10">
      <c r="A24" s="133">
        <f t="shared" si="1"/>
        <v>111</v>
      </c>
      <c r="B24" s="254" t="s">
        <v>439</v>
      </c>
      <c r="C24" s="257">
        <f>'1-BaseTRR'!$G$2</f>
        <v>2021</v>
      </c>
      <c r="D24" s="445">
        <v>544346982</v>
      </c>
      <c r="E24" s="445">
        <v>89589283</v>
      </c>
      <c r="F24" s="493">
        <f>+E24*'24-Allocators'!$C$43</f>
        <v>31612128.371389534</v>
      </c>
      <c r="G24" s="493">
        <f>+E24*'24-Allocators'!$C$44</f>
        <v>57977154.628610469</v>
      </c>
      <c r="J24" s="133">
        <f t="shared" si="0"/>
        <v>111</v>
      </c>
    </row>
    <row r="25" spans="1:10">
      <c r="A25" s="133">
        <f t="shared" si="1"/>
        <v>112</v>
      </c>
      <c r="B25" s="258" t="s">
        <v>428</v>
      </c>
      <c r="C25" s="259">
        <f>'1-BaseTRR'!$G$2</f>
        <v>2021</v>
      </c>
      <c r="D25" s="494">
        <v>552298302</v>
      </c>
      <c r="E25" s="494">
        <v>90974457</v>
      </c>
      <c r="F25" s="495">
        <f>+E25*'24-Allocators'!$C$43</f>
        <v>32100895.518959083</v>
      </c>
      <c r="G25" s="495">
        <f>+E25*'24-Allocators'!$C$44</f>
        <v>58873561.481040925</v>
      </c>
      <c r="J25" s="133">
        <f t="shared" si="0"/>
        <v>112</v>
      </c>
    </row>
    <row r="26" spans="1:10">
      <c r="A26" s="133">
        <f t="shared" si="1"/>
        <v>113</v>
      </c>
      <c r="B26" s="260" t="s">
        <v>702</v>
      </c>
      <c r="C26" s="260"/>
      <c r="D26" s="354">
        <f>SUM(D13:D25)/13</f>
        <v>528907080.15384614</v>
      </c>
      <c r="E26" s="550">
        <f t="shared" ref="E26:G26" si="2">SUM(E13:E25)/13</f>
        <v>88812496.20718953</v>
      </c>
      <c r="F26" s="550">
        <f t="shared" si="2"/>
        <v>31338034.383925378</v>
      </c>
      <c r="G26" s="550">
        <f t="shared" si="2"/>
        <v>57474461.823264152</v>
      </c>
      <c r="J26" s="133">
        <f t="shared" si="0"/>
        <v>113</v>
      </c>
    </row>
    <row r="27" spans="1:10">
      <c r="C27" s="17"/>
    </row>
    <row r="28" spans="1:10">
      <c r="C28" s="17"/>
    </row>
    <row r="29" spans="1:10">
      <c r="B29" s="120" t="s">
        <v>1048</v>
      </c>
      <c r="C29" s="55"/>
      <c r="D29" s="55"/>
      <c r="E29" s="55"/>
      <c r="F29" s="55"/>
      <c r="G29" s="55"/>
      <c r="H29" s="55"/>
      <c r="I29" s="55"/>
    </row>
    <row r="30" spans="1:10" ht="15" customHeight="1">
      <c r="B30" s="850" t="s">
        <v>1049</v>
      </c>
      <c r="C30" s="850"/>
      <c r="D30" s="850"/>
      <c r="E30" s="850"/>
      <c r="F30" s="850"/>
      <c r="G30" s="850"/>
      <c r="H30" s="850"/>
      <c r="I30" s="850"/>
      <c r="J30" s="261"/>
    </row>
    <row r="31" spans="1:10">
      <c r="B31" s="850"/>
      <c r="C31" s="850"/>
      <c r="D31" s="850"/>
      <c r="E31" s="850"/>
      <c r="F31" s="850"/>
      <c r="G31" s="850"/>
      <c r="H31" s="850"/>
      <c r="I31" s="850"/>
      <c r="J31" s="261"/>
    </row>
    <row r="32" spans="1:10">
      <c r="B32" s="261"/>
      <c r="C32" s="261"/>
      <c r="D32" s="261"/>
      <c r="E32" s="261"/>
      <c r="F32" s="261"/>
      <c r="G32" s="851"/>
      <c r="H32" s="851"/>
      <c r="I32" s="851"/>
    </row>
    <row r="33" spans="1:18">
      <c r="B33" s="124" t="s">
        <v>371</v>
      </c>
      <c r="C33" s="124" t="s">
        <v>372</v>
      </c>
      <c r="D33" s="124" t="s">
        <v>373</v>
      </c>
      <c r="E33" s="124" t="s">
        <v>374</v>
      </c>
      <c r="F33" s="124" t="s">
        <v>375</v>
      </c>
      <c r="G33" s="124" t="s">
        <v>376</v>
      </c>
      <c r="H33" s="124" t="s">
        <v>377</v>
      </c>
      <c r="I33" s="124" t="s">
        <v>378</v>
      </c>
      <c r="J33" s="124"/>
    </row>
    <row r="34" spans="1:18">
      <c r="B34" s="142" t="s">
        <v>1050</v>
      </c>
      <c r="C34" s="124"/>
      <c r="D34" s="262" t="s">
        <v>1051</v>
      </c>
      <c r="E34" s="142" t="s">
        <v>251</v>
      </c>
      <c r="F34" s="142" t="s">
        <v>1052</v>
      </c>
      <c r="G34" s="142" t="s">
        <v>287</v>
      </c>
      <c r="H34" s="142" t="s">
        <v>410</v>
      </c>
      <c r="I34" s="142" t="s">
        <v>411</v>
      </c>
    </row>
    <row r="35" spans="1:18" ht="15" customHeight="1">
      <c r="E35" s="263" t="s">
        <v>1053</v>
      </c>
      <c r="G35" s="852" t="s">
        <v>1054</v>
      </c>
      <c r="H35" s="852"/>
      <c r="I35" s="852"/>
    </row>
    <row r="36" spans="1:18" ht="27.75" customHeight="1">
      <c r="A36" s="255" t="s">
        <v>100</v>
      </c>
      <c r="B36" s="255" t="s">
        <v>384</v>
      </c>
      <c r="C36" s="255" t="s">
        <v>420</v>
      </c>
      <c r="D36" s="255" t="s">
        <v>1055</v>
      </c>
      <c r="E36" s="255" t="s">
        <v>1056</v>
      </c>
      <c r="F36" s="255" t="s">
        <v>1057</v>
      </c>
      <c r="G36" s="255" t="s">
        <v>1058</v>
      </c>
      <c r="H36" s="255" t="s">
        <v>1059</v>
      </c>
      <c r="I36" s="255" t="s">
        <v>1060</v>
      </c>
      <c r="J36" s="264" t="str">
        <f t="shared" ref="J36:J49" si="3">A36</f>
        <v>Line</v>
      </c>
    </row>
    <row r="37" spans="1:18">
      <c r="A37" s="133">
        <v>200</v>
      </c>
      <c r="B37" s="254" t="s">
        <v>428</v>
      </c>
      <c r="C37" s="257">
        <f>'1-BaseTRR'!$G$2-1</f>
        <v>2020</v>
      </c>
      <c r="D37" s="353">
        <v>698753381.11000013</v>
      </c>
      <c r="E37" s="353">
        <v>50539331.940000005</v>
      </c>
      <c r="F37" s="33">
        <f t="shared" ref="F37:F49" si="4">+D37-E37</f>
        <v>648214049.17000008</v>
      </c>
      <c r="G37" s="572">
        <v>23113163.519999996</v>
      </c>
      <c r="H37" s="572">
        <v>482456962.94</v>
      </c>
      <c r="I37" s="572">
        <v>142643922.70999998</v>
      </c>
      <c r="J37" s="133">
        <f t="shared" si="3"/>
        <v>200</v>
      </c>
      <c r="L37" s="265"/>
      <c r="M37" s="265"/>
      <c r="N37" s="265"/>
      <c r="O37" s="265"/>
      <c r="P37" s="266"/>
      <c r="Q37" s="267"/>
      <c r="R37" s="267"/>
    </row>
    <row r="38" spans="1:18">
      <c r="A38" s="133">
        <f t="shared" ref="A38:A49" si="5">A37+1</f>
        <v>201</v>
      </c>
      <c r="B38" s="254" t="s">
        <v>430</v>
      </c>
      <c r="C38" s="257">
        <f>'1-BaseTRR'!$G$2</f>
        <v>2021</v>
      </c>
      <c r="D38" s="353">
        <v>679333937.68000007</v>
      </c>
      <c r="E38" s="353">
        <v>51412418.420000002</v>
      </c>
      <c r="F38" s="33">
        <f t="shared" si="4"/>
        <v>627921519.26000011</v>
      </c>
      <c r="G38" s="572">
        <v>22411828.279999997</v>
      </c>
      <c r="H38" s="572">
        <v>412618392.56999999</v>
      </c>
      <c r="I38" s="572">
        <v>192891298.41000003</v>
      </c>
      <c r="J38" s="133">
        <f t="shared" si="3"/>
        <v>201</v>
      </c>
      <c r="L38" s="265"/>
      <c r="M38" s="265"/>
      <c r="N38" s="265"/>
      <c r="O38" s="265"/>
      <c r="P38" s="266"/>
      <c r="Q38" s="267"/>
      <c r="R38" s="267"/>
    </row>
    <row r="39" spans="1:18">
      <c r="A39" s="133">
        <f t="shared" si="5"/>
        <v>202</v>
      </c>
      <c r="B39" s="254" t="s">
        <v>431</v>
      </c>
      <c r="C39" s="257">
        <f>'1-BaseTRR'!$G$2</f>
        <v>2021</v>
      </c>
      <c r="D39" s="353">
        <v>594312809.91000009</v>
      </c>
      <c r="E39" s="353">
        <v>50982041.410000004</v>
      </c>
      <c r="F39" s="33">
        <f t="shared" si="4"/>
        <v>543330768.50000012</v>
      </c>
      <c r="G39" s="572">
        <v>23680466.25</v>
      </c>
      <c r="H39" s="572">
        <v>343512070.19999993</v>
      </c>
      <c r="I39" s="572">
        <v>176138232.05000001</v>
      </c>
      <c r="J39" s="133">
        <f t="shared" si="3"/>
        <v>202</v>
      </c>
      <c r="L39" s="265"/>
      <c r="M39" s="265"/>
      <c r="N39" s="265"/>
      <c r="O39" s="265"/>
      <c r="P39" s="266"/>
      <c r="Q39" s="267"/>
      <c r="R39" s="267"/>
    </row>
    <row r="40" spans="1:18">
      <c r="A40" s="133">
        <f t="shared" si="5"/>
        <v>203</v>
      </c>
      <c r="B40" s="254" t="s">
        <v>432</v>
      </c>
      <c r="C40" s="257">
        <f>'1-BaseTRR'!$G$2</f>
        <v>2021</v>
      </c>
      <c r="D40" s="353">
        <v>499559035.59000003</v>
      </c>
      <c r="E40" s="353">
        <v>34969127.74000001</v>
      </c>
      <c r="F40" s="33">
        <f t="shared" si="4"/>
        <v>464589907.85000002</v>
      </c>
      <c r="G40" s="572">
        <v>20886706.91</v>
      </c>
      <c r="H40" s="572">
        <v>272805170.90999997</v>
      </c>
      <c r="I40" s="572">
        <v>170898030.03</v>
      </c>
      <c r="J40" s="133">
        <f t="shared" si="3"/>
        <v>203</v>
      </c>
      <c r="L40" s="265"/>
      <c r="M40" s="265"/>
      <c r="N40" s="265"/>
      <c r="O40" s="265"/>
      <c r="P40" s="266"/>
      <c r="Q40" s="267"/>
      <c r="R40" s="267"/>
    </row>
    <row r="41" spans="1:18">
      <c r="A41" s="133">
        <f t="shared" si="5"/>
        <v>204</v>
      </c>
      <c r="B41" s="254" t="s">
        <v>433</v>
      </c>
      <c r="C41" s="257">
        <f>'1-BaseTRR'!$G$2</f>
        <v>2021</v>
      </c>
      <c r="D41" s="353">
        <v>580018381.20999992</v>
      </c>
      <c r="E41" s="353">
        <v>21889218.970000006</v>
      </c>
      <c r="F41" s="33">
        <f t="shared" si="4"/>
        <v>558129162.23999989</v>
      </c>
      <c r="G41" s="572">
        <v>23772941.579999998</v>
      </c>
      <c r="H41" s="572">
        <v>285805610.53999996</v>
      </c>
      <c r="I41" s="572">
        <v>248550610.12</v>
      </c>
      <c r="J41" s="133">
        <f t="shared" si="3"/>
        <v>204</v>
      </c>
      <c r="L41" s="265"/>
      <c r="M41" s="265"/>
      <c r="N41" s="265"/>
      <c r="O41" s="265"/>
      <c r="P41" s="266"/>
      <c r="Q41" s="267"/>
      <c r="R41" s="267"/>
    </row>
    <row r="42" spans="1:18">
      <c r="A42" s="133">
        <f t="shared" si="5"/>
        <v>205</v>
      </c>
      <c r="B42" s="254" t="s">
        <v>395</v>
      </c>
      <c r="C42" s="257">
        <f>'1-BaseTRR'!$G$2</f>
        <v>2021</v>
      </c>
      <c r="D42" s="353">
        <v>515186535.23000008</v>
      </c>
      <c r="E42" s="353">
        <v>21551946.49000001</v>
      </c>
      <c r="F42" s="33">
        <f t="shared" si="4"/>
        <v>493634588.74000007</v>
      </c>
      <c r="G42" s="572">
        <v>21140642.220000003</v>
      </c>
      <c r="H42" s="572">
        <v>281423463.38999999</v>
      </c>
      <c r="I42" s="572">
        <v>191070483.13000003</v>
      </c>
      <c r="J42" s="133">
        <f t="shared" si="3"/>
        <v>205</v>
      </c>
      <c r="L42" s="265"/>
      <c r="M42" s="265"/>
      <c r="N42" s="265"/>
      <c r="O42" s="265"/>
      <c r="P42" s="266"/>
      <c r="Q42" s="267"/>
      <c r="R42" s="267"/>
    </row>
    <row r="43" spans="1:18">
      <c r="A43" s="133">
        <f t="shared" si="5"/>
        <v>206</v>
      </c>
      <c r="B43" s="254" t="s">
        <v>531</v>
      </c>
      <c r="C43" s="257">
        <f>'1-BaseTRR'!$G$2</f>
        <v>2021</v>
      </c>
      <c r="D43" s="353">
        <v>484704890.90999997</v>
      </c>
      <c r="E43" s="353">
        <v>22464959.320000008</v>
      </c>
      <c r="F43" s="33">
        <f t="shared" si="4"/>
        <v>462239931.58999997</v>
      </c>
      <c r="G43" s="572">
        <v>18331610.43</v>
      </c>
      <c r="H43" s="572">
        <v>278716840.95999992</v>
      </c>
      <c r="I43" s="572">
        <v>165191480.20000002</v>
      </c>
      <c r="J43" s="133">
        <f t="shared" si="3"/>
        <v>206</v>
      </c>
      <c r="L43" s="265"/>
      <c r="M43" s="265"/>
      <c r="N43" s="265"/>
      <c r="O43" s="265"/>
      <c r="P43" s="266"/>
      <c r="Q43" s="267"/>
      <c r="R43" s="267"/>
    </row>
    <row r="44" spans="1:18">
      <c r="A44" s="133">
        <f t="shared" si="5"/>
        <v>207</v>
      </c>
      <c r="B44" s="254" t="s">
        <v>435</v>
      </c>
      <c r="C44" s="257">
        <f>'1-BaseTRR'!$G$2</f>
        <v>2021</v>
      </c>
      <c r="D44" s="353">
        <v>972596793.1099999</v>
      </c>
      <c r="E44" s="353">
        <v>22215202.860000007</v>
      </c>
      <c r="F44" s="33">
        <f t="shared" si="4"/>
        <v>950381590.24999988</v>
      </c>
      <c r="G44" s="572">
        <v>15522578.639999999</v>
      </c>
      <c r="H44" s="572">
        <v>737903456.84000003</v>
      </c>
      <c r="I44" s="572">
        <v>196955554.76999992</v>
      </c>
      <c r="J44" s="133">
        <f t="shared" si="3"/>
        <v>207</v>
      </c>
      <c r="L44" s="265"/>
      <c r="M44" s="265"/>
      <c r="N44" s="265"/>
      <c r="O44" s="265"/>
      <c r="P44" s="266"/>
      <c r="Q44" s="267"/>
      <c r="R44" s="267"/>
    </row>
    <row r="45" spans="1:18">
      <c r="A45" s="133">
        <f t="shared" si="5"/>
        <v>208</v>
      </c>
      <c r="B45" s="254" t="s">
        <v>436</v>
      </c>
      <c r="C45" s="257">
        <f>'1-BaseTRR'!$G$2</f>
        <v>2021</v>
      </c>
      <c r="D45" s="353">
        <v>900525635.2299999</v>
      </c>
      <c r="E45" s="353">
        <v>23832557.260000005</v>
      </c>
      <c r="F45" s="33">
        <f t="shared" si="4"/>
        <v>876693077.96999991</v>
      </c>
      <c r="G45" s="572">
        <v>12713546.85</v>
      </c>
      <c r="H45" s="572">
        <v>666550941.39999998</v>
      </c>
      <c r="I45" s="572">
        <v>197428589.72000015</v>
      </c>
      <c r="J45" s="133">
        <f t="shared" si="3"/>
        <v>208</v>
      </c>
      <c r="L45" s="265"/>
      <c r="M45" s="265"/>
      <c r="N45" s="265"/>
      <c r="O45" s="265"/>
      <c r="P45" s="266"/>
      <c r="Q45" s="267"/>
      <c r="R45" s="267"/>
    </row>
    <row r="46" spans="1:18">
      <c r="A46" s="133">
        <f t="shared" si="5"/>
        <v>209</v>
      </c>
      <c r="B46" s="254" t="s">
        <v>437</v>
      </c>
      <c r="C46" s="257">
        <f>'1-BaseTRR'!$G$2</f>
        <v>2021</v>
      </c>
      <c r="D46" s="353">
        <v>706961619.45000005</v>
      </c>
      <c r="E46" s="353">
        <v>26076356.690000009</v>
      </c>
      <c r="F46" s="33">
        <f t="shared" si="4"/>
        <v>680885262.75999999</v>
      </c>
      <c r="G46" s="572">
        <v>9904515.0599999987</v>
      </c>
      <c r="H46" s="572">
        <v>491468749.5</v>
      </c>
      <c r="I46" s="572">
        <v>179511998.20000005</v>
      </c>
      <c r="J46" s="133">
        <f t="shared" si="3"/>
        <v>209</v>
      </c>
      <c r="L46" s="265"/>
      <c r="M46" s="265"/>
      <c r="N46" s="265"/>
      <c r="O46" s="265"/>
      <c r="P46" s="266"/>
      <c r="Q46" s="267"/>
      <c r="R46" s="267"/>
    </row>
    <row r="47" spans="1:18">
      <c r="A47" s="133">
        <f t="shared" si="5"/>
        <v>210</v>
      </c>
      <c r="B47" s="254" t="s">
        <v>438</v>
      </c>
      <c r="C47" s="257">
        <f>'1-BaseTRR'!$G$2</f>
        <v>2021</v>
      </c>
      <c r="D47" s="353">
        <v>641537683.36999989</v>
      </c>
      <c r="E47" s="353">
        <v>36024139.420000009</v>
      </c>
      <c r="F47" s="33">
        <f t="shared" si="4"/>
        <v>605513543.94999993</v>
      </c>
      <c r="G47" s="572">
        <v>10605181.260000002</v>
      </c>
      <c r="H47" s="572">
        <v>437404513.47000003</v>
      </c>
      <c r="I47" s="572">
        <v>157503849.21999997</v>
      </c>
      <c r="J47" s="133">
        <f t="shared" si="3"/>
        <v>210</v>
      </c>
      <c r="L47" s="265"/>
      <c r="M47" s="265"/>
      <c r="N47" s="265"/>
      <c r="O47" s="265"/>
      <c r="P47" s="266"/>
      <c r="Q47" s="267"/>
      <c r="R47" s="267"/>
    </row>
    <row r="48" spans="1:18">
      <c r="A48" s="133">
        <f t="shared" si="5"/>
        <v>211</v>
      </c>
      <c r="B48" s="254" t="s">
        <v>439</v>
      </c>
      <c r="C48" s="257">
        <f>'1-BaseTRR'!$G$2</f>
        <v>2021</v>
      </c>
      <c r="D48" s="353">
        <v>566089864.61000001</v>
      </c>
      <c r="E48" s="353">
        <v>35774382.960000008</v>
      </c>
      <c r="F48" s="33">
        <f t="shared" si="4"/>
        <v>530315481.64999998</v>
      </c>
      <c r="G48" s="572">
        <v>7895427.4699999997</v>
      </c>
      <c r="H48" s="572">
        <v>383340277.44</v>
      </c>
      <c r="I48" s="572">
        <v>139079776.74000001</v>
      </c>
      <c r="J48" s="133">
        <f t="shared" si="3"/>
        <v>211</v>
      </c>
      <c r="L48" s="265"/>
      <c r="M48" s="265"/>
      <c r="N48" s="265"/>
      <c r="O48" s="265"/>
      <c r="P48" s="266"/>
      <c r="Q48" s="267"/>
      <c r="R48" s="267"/>
    </row>
    <row r="49" spans="1:18">
      <c r="A49" s="133">
        <f t="shared" si="5"/>
        <v>212</v>
      </c>
      <c r="B49" s="253" t="s">
        <v>428</v>
      </c>
      <c r="C49" s="257">
        <f>'1-BaseTRR'!$G$2</f>
        <v>2021</v>
      </c>
      <c r="D49" s="353">
        <v>520256194.68000007</v>
      </c>
      <c r="E49" s="353">
        <v>36907971.290000007</v>
      </c>
      <c r="F49" s="33">
        <f t="shared" si="4"/>
        <v>483348223.39000005</v>
      </c>
      <c r="G49" s="572">
        <v>5341192.0999999996</v>
      </c>
      <c r="H49" s="572">
        <v>329276041.40999997</v>
      </c>
      <c r="I49" s="572">
        <v>148730989.88</v>
      </c>
      <c r="J49" s="133">
        <f t="shared" si="3"/>
        <v>212</v>
      </c>
      <c r="L49" s="265"/>
      <c r="M49" s="265"/>
      <c r="N49" s="265"/>
      <c r="O49" s="265"/>
      <c r="P49" s="266"/>
      <c r="Q49" s="267"/>
      <c r="R49" s="267"/>
    </row>
    <row r="50" spans="1:18">
      <c r="A50" s="133"/>
      <c r="B50" s="253"/>
      <c r="C50" s="257"/>
      <c r="D50" s="20"/>
      <c r="E50" s="20"/>
      <c r="F50" s="20"/>
      <c r="G50" s="268"/>
      <c r="H50" s="268"/>
      <c r="I50" s="268"/>
      <c r="J50" s="133"/>
      <c r="L50" s="265"/>
      <c r="M50" s="265"/>
      <c r="N50" s="265"/>
      <c r="O50" s="265"/>
      <c r="P50" s="266"/>
      <c r="Q50" s="267"/>
      <c r="R50" s="267"/>
    </row>
    <row r="51" spans="1:18">
      <c r="B51" s="253"/>
      <c r="C51" s="257"/>
      <c r="D51" s="269"/>
      <c r="E51" s="20"/>
      <c r="F51" s="269"/>
      <c r="G51" s="35"/>
      <c r="H51" s="30"/>
      <c r="J51" s="133"/>
    </row>
    <row r="52" spans="1:18">
      <c r="A52" s="133"/>
      <c r="C52" s="257"/>
      <c r="D52" s="269"/>
      <c r="E52" s="20"/>
      <c r="F52" s="269"/>
      <c r="G52" s="8"/>
      <c r="H52" s="4" t="s">
        <v>1061</v>
      </c>
      <c r="I52" s="8"/>
      <c r="J52" s="133"/>
    </row>
    <row r="53" spans="1:18">
      <c r="A53" s="133"/>
      <c r="B53" s="260" t="s">
        <v>1062</v>
      </c>
      <c r="C53" s="257"/>
      <c r="D53" s="269"/>
      <c r="E53" s="20"/>
      <c r="F53" s="269"/>
      <c r="G53" s="515" t="s">
        <v>1063</v>
      </c>
      <c r="H53" s="515" t="s">
        <v>1064</v>
      </c>
      <c r="I53" s="245" t="s">
        <v>1065</v>
      </c>
      <c r="J53" s="133"/>
    </row>
    <row r="54" spans="1:18">
      <c r="A54" s="133">
        <f>A49+1</f>
        <v>213</v>
      </c>
      <c r="B54" s="253" t="s">
        <v>462</v>
      </c>
      <c r="C54" s="270" t="s">
        <v>1066</v>
      </c>
      <c r="D54" s="269"/>
      <c r="E54" s="20"/>
      <c r="F54" s="269"/>
      <c r="G54" s="513">
        <f>'24-Allocators'!C29</f>
        <v>0.16303308552822116</v>
      </c>
      <c r="H54" s="516">
        <f>'24-Allocators'!C56</f>
        <v>0.12718032763496651</v>
      </c>
      <c r="I54" s="514">
        <f>'24-Allocators'!C24</f>
        <v>0.10327848903946341</v>
      </c>
      <c r="J54" s="133">
        <f>A54</f>
        <v>213</v>
      </c>
    </row>
    <row r="55" spans="1:18">
      <c r="B55" s="253"/>
      <c r="C55" s="257"/>
      <c r="D55" s="269"/>
      <c r="E55" s="20"/>
      <c r="F55" s="269"/>
      <c r="G55" s="35"/>
      <c r="J55" s="133"/>
    </row>
    <row r="56" spans="1:18" ht="29.25" customHeight="1">
      <c r="A56" s="133">
        <f>+A54+1</f>
        <v>214</v>
      </c>
      <c r="B56" s="260" t="s">
        <v>1067</v>
      </c>
      <c r="C56" s="5" t="str">
        <f>"(Sum Line "&amp;A37&amp;" to Line "&amp;A49&amp;") / 13"</f>
        <v>(Sum Line 200 to Line 212) / 13</v>
      </c>
      <c r="D56" s="496">
        <f t="shared" ref="D56:I56" si="6">AVERAGE(D37:D49)</f>
        <v>643064366.31461537</v>
      </c>
      <c r="E56" s="496">
        <f t="shared" si="6"/>
        <v>33433819.597692311</v>
      </c>
      <c r="F56" s="496">
        <f t="shared" si="6"/>
        <v>609630546.71692312</v>
      </c>
      <c r="G56" s="496">
        <f t="shared" si="6"/>
        <v>16563061.582307689</v>
      </c>
      <c r="H56" s="496">
        <f t="shared" si="6"/>
        <v>415637114.73615384</v>
      </c>
      <c r="I56" s="496">
        <f t="shared" si="6"/>
        <v>177430370.39846155</v>
      </c>
      <c r="J56" s="133">
        <f>A56</f>
        <v>214</v>
      </c>
      <c r="L56" s="20"/>
    </row>
    <row r="57" spans="1:18">
      <c r="A57" s="133">
        <f>A56+1</f>
        <v>215</v>
      </c>
      <c r="B57" s="253" t="s">
        <v>1068</v>
      </c>
      <c r="C57" s="27" t="str">
        <f>"Line "&amp;A54&amp;" * Line "&amp;A56&amp;""</f>
        <v>Line 213 * Line 214</v>
      </c>
      <c r="D57" s="497"/>
      <c r="E57" s="497"/>
      <c r="F57" s="497">
        <f>+G57+H57+I57</f>
        <v>73885932</v>
      </c>
      <c r="G57" s="496">
        <f>ROUND(G56*G54,0)</f>
        <v>2700327</v>
      </c>
      <c r="H57" s="496">
        <f>ROUND(H56*H54,0)</f>
        <v>52860864</v>
      </c>
      <c r="I57" s="496">
        <f>ROUND(I56*I54,0)</f>
        <v>18324741</v>
      </c>
      <c r="J57" s="133">
        <f>A57</f>
        <v>215</v>
      </c>
      <c r="L57" s="20"/>
    </row>
    <row r="58" spans="1:18">
      <c r="B58" s="253"/>
      <c r="C58" s="250"/>
      <c r="D58" s="269"/>
      <c r="E58" s="269"/>
      <c r="F58" s="269"/>
      <c r="G58" s="269"/>
      <c r="H58" s="269"/>
      <c r="I58" s="269"/>
      <c r="J58" s="133"/>
    </row>
    <row r="59" spans="1:18">
      <c r="A59" s="133">
        <f>A57+1</f>
        <v>216</v>
      </c>
      <c r="B59" s="260" t="s">
        <v>1069</v>
      </c>
      <c r="C59" s="250" t="str">
        <f>"Line "&amp;A49&amp;""</f>
        <v>Line 212</v>
      </c>
      <c r="D59" s="496">
        <f t="shared" ref="D59:I59" si="7">+D49</f>
        <v>520256194.68000007</v>
      </c>
      <c r="E59" s="496">
        <f t="shared" si="7"/>
        <v>36907971.290000007</v>
      </c>
      <c r="F59" s="496">
        <f t="shared" si="7"/>
        <v>483348223.39000005</v>
      </c>
      <c r="G59" s="496">
        <f t="shared" si="7"/>
        <v>5341192.0999999996</v>
      </c>
      <c r="H59" s="496">
        <f t="shared" si="7"/>
        <v>329276041.40999997</v>
      </c>
      <c r="I59" s="496">
        <f t="shared" si="7"/>
        <v>148730989.88</v>
      </c>
      <c r="J59" s="133">
        <f>A59</f>
        <v>216</v>
      </c>
      <c r="L59" s="20"/>
    </row>
    <row r="60" spans="1:18">
      <c r="A60" s="133">
        <f>A59+1</f>
        <v>217</v>
      </c>
      <c r="B60" s="253" t="s">
        <v>1068</v>
      </c>
      <c r="C60" s="27" t="str">
        <f>"Line "&amp;A54&amp;" * Line "&amp;A59&amp;""</f>
        <v>Line 213 * Line 216</v>
      </c>
      <c r="D60" s="496"/>
      <c r="E60" s="496"/>
      <c r="F60" s="497">
        <f>+G60+H60+I60</f>
        <v>58108938</v>
      </c>
      <c r="G60" s="496">
        <f>ROUND(G59*G54,0)</f>
        <v>870791</v>
      </c>
      <c r="H60" s="496">
        <f>ROUND(H59*H54,0)</f>
        <v>41877435</v>
      </c>
      <c r="I60" s="496">
        <f>ROUND(I59*I54,0)</f>
        <v>15360712</v>
      </c>
      <c r="J60" s="133">
        <f>A60</f>
        <v>217</v>
      </c>
      <c r="L60" s="20"/>
    </row>
    <row r="61" spans="1:18">
      <c r="A61" s="133"/>
      <c r="B61" s="260"/>
      <c r="C61" s="257"/>
      <c r="D61" s="269"/>
      <c r="E61" s="269"/>
      <c r="F61" s="269"/>
      <c r="G61" s="269"/>
      <c r="H61" s="269"/>
      <c r="I61" s="269"/>
      <c r="J61" s="133"/>
      <c r="L61" s="20"/>
    </row>
    <row r="62" spans="1:18">
      <c r="A62" s="133"/>
      <c r="B62" s="260" t="s">
        <v>306</v>
      </c>
      <c r="C62" s="257"/>
      <c r="D62" s="269"/>
      <c r="E62" s="269"/>
      <c r="F62" s="269"/>
      <c r="G62" s="269"/>
      <c r="H62" s="269"/>
      <c r="I62" s="269"/>
      <c r="J62" s="133"/>
      <c r="L62" s="20"/>
    </row>
    <row r="63" spans="1:18">
      <c r="A63" s="133"/>
      <c r="B63" s="253" t="s">
        <v>1070</v>
      </c>
      <c r="C63" s="257"/>
      <c r="D63" s="269"/>
      <c r="E63" s="269"/>
      <c r="F63" s="269"/>
      <c r="G63" s="269"/>
      <c r="H63" s="269"/>
      <c r="I63" s="269"/>
      <c r="J63" s="133"/>
      <c r="L63" s="20"/>
    </row>
    <row r="64" spans="1:18">
      <c r="A64" s="133"/>
      <c r="B64" s="253" t="s">
        <v>1071</v>
      </c>
      <c r="C64" s="257"/>
      <c r="D64" s="269"/>
      <c r="E64" s="269"/>
      <c r="F64" s="269"/>
      <c r="G64" s="269"/>
      <c r="H64" s="269"/>
      <c r="I64" s="269"/>
      <c r="J64" s="133"/>
      <c r="L64" s="20"/>
    </row>
    <row r="65" spans="1:12">
      <c r="A65" s="133"/>
      <c r="B65" s="253" t="s">
        <v>1072</v>
      </c>
      <c r="C65" s="257"/>
      <c r="D65" s="269"/>
      <c r="E65" s="269"/>
      <c r="F65" s="269"/>
      <c r="G65" s="269"/>
      <c r="H65" s="269"/>
      <c r="I65" s="269"/>
      <c r="J65" s="133"/>
      <c r="L65" s="20"/>
    </row>
    <row r="66" spans="1:12">
      <c r="A66" s="133"/>
      <c r="B66" s="253" t="s">
        <v>1073</v>
      </c>
      <c r="C66" s="257"/>
      <c r="D66" s="269"/>
      <c r="E66" s="269"/>
      <c r="F66" s="269"/>
      <c r="G66" s="269"/>
      <c r="H66" s="269"/>
      <c r="I66" s="269"/>
      <c r="J66" s="133"/>
      <c r="L66" s="20"/>
    </row>
    <row r="67" spans="1:12">
      <c r="A67" s="133"/>
      <c r="B67" s="253" t="s">
        <v>1074</v>
      </c>
      <c r="C67" s="257"/>
      <c r="D67" s="269"/>
      <c r="E67" s="269"/>
      <c r="F67" s="269"/>
      <c r="G67" s="269"/>
      <c r="H67" s="269"/>
      <c r="I67" s="269"/>
      <c r="J67" s="133"/>
      <c r="L67" s="20"/>
    </row>
    <row r="68" spans="1:12">
      <c r="A68" s="133"/>
      <c r="B68" s="253" t="s">
        <v>1075</v>
      </c>
      <c r="C68" s="257"/>
      <c r="D68" s="269"/>
      <c r="E68" s="269"/>
      <c r="F68" s="269"/>
      <c r="G68" s="269"/>
      <c r="H68" s="269"/>
      <c r="I68" s="269"/>
      <c r="J68" s="133"/>
      <c r="L68" s="20"/>
    </row>
    <row r="69" spans="1:12">
      <c r="B69" s="253" t="s">
        <v>1076</v>
      </c>
    </row>
    <row r="72" spans="1:12">
      <c r="H72" s="21"/>
    </row>
    <row r="74" spans="1:12">
      <c r="H74" s="271"/>
    </row>
    <row r="144" spans="11:11">
      <c r="K144" t="e">
        <f>E30/E144*E151</f>
        <v>#DIV/0!</v>
      </c>
    </row>
    <row r="160" spans="10:10">
      <c r="J160">
        <f>E160-D160</f>
        <v>0</v>
      </c>
    </row>
  </sheetData>
  <mergeCells count="3">
    <mergeCell ref="B30:I31"/>
    <mergeCell ref="G32:I32"/>
    <mergeCell ref="G35:I35"/>
  </mergeCells>
  <printOptions horizontalCentered="1"/>
  <pageMargins left="1" right="1" top="1" bottom="1" header="0.5" footer="0.5"/>
  <pageSetup scale="63"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188"/>
  <sheetViews>
    <sheetView tabSelected="1" view="pageBreakPreview" topLeftCell="A2" zoomScale="70" zoomScaleNormal="70" zoomScaleSheetLayoutView="70" zoomScalePageLayoutView="55" workbookViewId="0">
      <selection activeCell="E174" sqref="E174"/>
    </sheetView>
  </sheetViews>
  <sheetFormatPr defaultColWidth="9.1796875" defaultRowHeight="14.5"/>
  <cols>
    <col min="1" max="1" width="6.7265625" bestFit="1" customWidth="1"/>
    <col min="2" max="2" width="9.54296875" customWidth="1"/>
    <col min="3" max="3" width="54.453125" customWidth="1"/>
    <col min="4" max="4" width="25.1796875" customWidth="1"/>
    <col min="5" max="5" width="28.26953125" customWidth="1"/>
    <col min="6" max="6" width="30.1796875" customWidth="1"/>
    <col min="7" max="7" width="25.26953125" customWidth="1"/>
    <col min="8" max="8" width="22.26953125" customWidth="1"/>
    <col min="9" max="9" width="53.54296875" bestFit="1" customWidth="1"/>
    <col min="10" max="10" width="13.453125" customWidth="1"/>
    <col min="11" max="11" width="25.1796875" customWidth="1"/>
    <col min="12" max="12" width="15" customWidth="1"/>
    <col min="13" max="13" width="18.7265625" customWidth="1"/>
    <col min="14" max="16" width="9.1796875" customWidth="1"/>
    <col min="17" max="17" width="11.453125" bestFit="1" customWidth="1"/>
  </cols>
  <sheetData>
    <row r="1" spans="1:14">
      <c r="B1" s="12" t="s">
        <v>40</v>
      </c>
      <c r="I1" s="15"/>
      <c r="M1" s="15" t="str">
        <f>CONCATENATE("Prior Year: ",'1-BaseTRR'!$G$2)</f>
        <v>Prior Year: 2021</v>
      </c>
    </row>
    <row r="2" spans="1:14">
      <c r="B2" s="119" t="s">
        <v>131</v>
      </c>
      <c r="C2" s="272"/>
      <c r="I2" s="15"/>
      <c r="J2" s="15"/>
    </row>
    <row r="3" spans="1:14">
      <c r="B3" s="144"/>
      <c r="C3" s="177"/>
      <c r="D3" s="177"/>
    </row>
    <row r="4" spans="1:14">
      <c r="B4" s="180" t="s">
        <v>1077</v>
      </c>
      <c r="C4" s="181"/>
      <c r="D4" s="181"/>
      <c r="E4" s="55"/>
      <c r="F4" s="55"/>
      <c r="G4" s="55"/>
      <c r="H4" s="55"/>
      <c r="I4" s="55"/>
      <c r="J4" s="55"/>
      <c r="K4" s="55"/>
      <c r="L4" s="55"/>
      <c r="M4" s="55"/>
    </row>
    <row r="5" spans="1:14">
      <c r="B5" s="273" t="s">
        <v>1078</v>
      </c>
      <c r="C5" s="177"/>
      <c r="D5" s="177"/>
    </row>
    <row r="6" spans="1:14">
      <c r="B6" s="178"/>
      <c r="C6" s="124" t="s">
        <v>371</v>
      </c>
      <c r="D6" s="124" t="s">
        <v>372</v>
      </c>
      <c r="E6" s="124" t="s">
        <v>373</v>
      </c>
    </row>
    <row r="7" spans="1:14">
      <c r="C7" s="177"/>
    </row>
    <row r="8" spans="1:14">
      <c r="A8" s="121" t="s">
        <v>100</v>
      </c>
      <c r="B8" s="178"/>
      <c r="C8" s="16" t="s">
        <v>1079</v>
      </c>
      <c r="D8" s="121" t="s">
        <v>1080</v>
      </c>
      <c r="E8" s="13" t="s">
        <v>135</v>
      </c>
      <c r="N8" s="121" t="str">
        <f t="shared" ref="N8:N13" si="0">A8</f>
        <v>Line</v>
      </c>
    </row>
    <row r="9" spans="1:14">
      <c r="A9" s="133">
        <v>100</v>
      </c>
      <c r="B9" s="178"/>
      <c r="C9" s="17" t="s">
        <v>1081</v>
      </c>
      <c r="D9" s="426">
        <f>+D45</f>
        <v>429533696.00555134</v>
      </c>
      <c r="E9" s="18" t="str">
        <f>"Line "&amp;A45&amp;", Col. 2"</f>
        <v>Line 212, Col. 2</v>
      </c>
      <c r="N9" s="8">
        <f t="shared" si="0"/>
        <v>100</v>
      </c>
    </row>
    <row r="10" spans="1:14">
      <c r="A10" s="133">
        <f>A9+1</f>
        <v>101</v>
      </c>
      <c r="B10" s="178"/>
      <c r="C10" s="17" t="s">
        <v>1082</v>
      </c>
      <c r="D10" s="426">
        <f>+D64</f>
        <v>-1934015684.4627759</v>
      </c>
      <c r="E10" s="18" t="str">
        <f>"Line "&amp;A64&amp;", Col. 2"</f>
        <v>Line 309, Col. 2</v>
      </c>
      <c r="N10" s="8">
        <f t="shared" si="0"/>
        <v>101</v>
      </c>
    </row>
    <row r="11" spans="1:14">
      <c r="A11" s="133">
        <f>A10+1</f>
        <v>102</v>
      </c>
      <c r="B11" s="178"/>
      <c r="C11" s="17" t="s">
        <v>1083</v>
      </c>
      <c r="D11" s="426">
        <f>+D83</f>
        <v>0</v>
      </c>
      <c r="E11" s="18" t="str">
        <f>"Line "&amp;A83&amp;", Col. 2"</f>
        <v>Line 406, Col. 2</v>
      </c>
      <c r="I11" s="243"/>
      <c r="N11" s="8">
        <f t="shared" si="0"/>
        <v>102</v>
      </c>
    </row>
    <row r="12" spans="1:14">
      <c r="A12" s="133">
        <f>A11+1</f>
        <v>103</v>
      </c>
      <c r="B12" s="178"/>
      <c r="C12" s="17" t="s">
        <v>1084</v>
      </c>
      <c r="D12" s="426">
        <f>+D99</f>
        <v>-4246951.5934927315</v>
      </c>
      <c r="E12" s="18" t="str">
        <f>"Line "&amp;A99&amp;", Col. 2"</f>
        <v>Line 505, Col. 2</v>
      </c>
      <c r="I12" s="243"/>
      <c r="N12" s="8">
        <f t="shared" si="0"/>
        <v>103</v>
      </c>
    </row>
    <row r="13" spans="1:14">
      <c r="A13" s="133">
        <f>A12+1</f>
        <v>104</v>
      </c>
      <c r="B13" s="178"/>
      <c r="C13" s="17" t="s">
        <v>1085</v>
      </c>
      <c r="D13" s="427">
        <f>SUM(D9:D12)</f>
        <v>-1508728940.0507174</v>
      </c>
      <c r="E13" s="274" t="str">
        <f>"Sum of Lines "&amp;A9&amp;" to "&amp;A12&amp;""</f>
        <v>Sum of Lines 100 to 103</v>
      </c>
      <c r="N13" s="8">
        <f t="shared" si="0"/>
        <v>104</v>
      </c>
    </row>
    <row r="14" spans="1:14">
      <c r="A14" s="133"/>
      <c r="B14" s="178"/>
      <c r="G14" s="275"/>
      <c r="H14" s="35"/>
      <c r="I14" s="243"/>
      <c r="N14" s="8"/>
    </row>
    <row r="15" spans="1:14">
      <c r="A15" s="133"/>
      <c r="B15" s="273" t="s">
        <v>1086</v>
      </c>
      <c r="G15" s="243"/>
      <c r="H15" s="276"/>
      <c r="I15" s="243"/>
      <c r="N15" s="8"/>
    </row>
    <row r="16" spans="1:14">
      <c r="A16" s="133"/>
      <c r="B16" s="178"/>
      <c r="D16" s="121" t="s">
        <v>1087</v>
      </c>
      <c r="E16" s="13" t="s">
        <v>135</v>
      </c>
      <c r="G16" s="277"/>
      <c r="H16" s="243"/>
      <c r="I16" s="243"/>
      <c r="N16" s="8"/>
    </row>
    <row r="17" spans="1:14" ht="15" thickBot="1">
      <c r="A17" s="133">
        <f>A13+1</f>
        <v>105</v>
      </c>
      <c r="B17" s="178"/>
      <c r="C17" s="17" t="s">
        <v>1085</v>
      </c>
      <c r="D17" s="803">
        <v>-1470878157.7303393</v>
      </c>
      <c r="E17" s="35" t="s">
        <v>1088</v>
      </c>
      <c r="G17" s="243"/>
      <c r="H17" s="243"/>
      <c r="I17" s="243"/>
      <c r="N17" s="8">
        <f>A17</f>
        <v>105</v>
      </c>
    </row>
    <row r="18" spans="1:14" ht="15" thickTop="1">
      <c r="A18" s="133"/>
      <c r="B18" s="178"/>
      <c r="F18" s="243"/>
      <c r="G18" s="243"/>
      <c r="H18" s="243"/>
      <c r="I18" s="243"/>
      <c r="N18" s="8"/>
    </row>
    <row r="19" spans="1:14">
      <c r="A19" s="133"/>
      <c r="B19" s="273" t="s">
        <v>1089</v>
      </c>
      <c r="F19" s="243"/>
      <c r="G19" s="243"/>
      <c r="H19" s="243"/>
      <c r="I19" s="243"/>
      <c r="N19" s="8"/>
    </row>
    <row r="20" spans="1:14">
      <c r="A20" s="133"/>
      <c r="B20" s="177"/>
      <c r="D20" s="121" t="s">
        <v>1090</v>
      </c>
      <c r="E20" s="13" t="s">
        <v>135</v>
      </c>
      <c r="G20" s="277"/>
      <c r="N20" s="8"/>
    </row>
    <row r="21" spans="1:14">
      <c r="A21" s="133">
        <f>A17+1</f>
        <v>106</v>
      </c>
      <c r="B21" s="177"/>
      <c r="C21" s="197" t="s">
        <v>1091</v>
      </c>
      <c r="D21" s="441">
        <f>J124</f>
        <v>-1488412230.1796651</v>
      </c>
      <c r="E21" s="18" t="str">
        <f>"Line "&amp;A124&amp;", Col. 8"</f>
        <v>Line 614, Col. 8</v>
      </c>
      <c r="G21" s="243"/>
      <c r="N21" s="8">
        <f>A21</f>
        <v>106</v>
      </c>
    </row>
    <row r="22" spans="1:14">
      <c r="A22" s="133">
        <f>+A21+1</f>
        <v>107</v>
      </c>
      <c r="B22" s="177"/>
      <c r="C22" s="197" t="s">
        <v>1092</v>
      </c>
      <c r="D22" s="804">
        <v>0</v>
      </c>
      <c r="E22" s="18" t="s">
        <v>1093</v>
      </c>
      <c r="G22" s="243"/>
      <c r="N22" s="8">
        <f t="shared" ref="N22:N23" si="1">A22</f>
        <v>107</v>
      </c>
    </row>
    <row r="23" spans="1:14" ht="15" thickBot="1">
      <c r="A23" s="133">
        <f>+A22+1</f>
        <v>108</v>
      </c>
      <c r="B23" s="177"/>
      <c r="C23" s="197" t="s">
        <v>1094</v>
      </c>
      <c r="D23" s="674">
        <f>SUM(D21:D22)</f>
        <v>-1488412230.1796651</v>
      </c>
      <c r="E23" s="18" t="s">
        <v>1095</v>
      </c>
      <c r="G23" s="243"/>
      <c r="I23" s="33"/>
      <c r="N23" s="8">
        <f t="shared" si="1"/>
        <v>108</v>
      </c>
    </row>
    <row r="24" spans="1:14" ht="15" thickTop="1">
      <c r="A24" s="133"/>
      <c r="B24" s="177"/>
      <c r="C24" s="197"/>
      <c r="D24" s="441"/>
      <c r="E24" s="18"/>
      <c r="G24" s="243"/>
      <c r="N24" s="8"/>
    </row>
    <row r="25" spans="1:14">
      <c r="A25" s="133"/>
      <c r="B25" s="177"/>
      <c r="C25" s="197"/>
      <c r="D25" s="441"/>
      <c r="E25" s="18"/>
      <c r="G25" s="243"/>
      <c r="N25" s="8"/>
    </row>
    <row r="26" spans="1:14">
      <c r="A26" s="133"/>
      <c r="B26" s="177"/>
      <c r="C26" s="278"/>
      <c r="D26" s="279"/>
      <c r="N26" s="8"/>
    </row>
    <row r="27" spans="1:14">
      <c r="A27" s="133"/>
      <c r="B27" s="180" t="s">
        <v>1096</v>
      </c>
      <c r="C27" s="280"/>
      <c r="D27" s="281"/>
      <c r="E27" s="55"/>
      <c r="F27" s="55"/>
      <c r="G27" s="55"/>
      <c r="H27" s="55"/>
      <c r="I27" s="55"/>
      <c r="J27" s="55"/>
      <c r="K27" s="55"/>
      <c r="L27" s="55"/>
      <c r="M27" s="55"/>
      <c r="N27" s="30"/>
    </row>
    <row r="28" spans="1:14">
      <c r="A28" s="133"/>
      <c r="B28" s="178"/>
      <c r="C28" s="124" t="s">
        <v>371</v>
      </c>
      <c r="D28" s="124" t="s">
        <v>372</v>
      </c>
      <c r="E28" s="124" t="s">
        <v>373</v>
      </c>
      <c r="F28" s="124" t="s">
        <v>374</v>
      </c>
      <c r="G28" s="124" t="s">
        <v>375</v>
      </c>
      <c r="H28" s="124" t="s">
        <v>376</v>
      </c>
      <c r="I28" s="124" t="s">
        <v>377</v>
      </c>
      <c r="N28" s="30"/>
    </row>
    <row r="29" spans="1:14">
      <c r="A29" s="27"/>
      <c r="B29" s="183"/>
      <c r="C29" s="183"/>
      <c r="D29" s="183" t="s">
        <v>1097</v>
      </c>
      <c r="E29" s="183" t="s">
        <v>1098</v>
      </c>
      <c r="F29" s="183"/>
      <c r="G29" s="183" t="s">
        <v>853</v>
      </c>
      <c r="H29" s="183" t="s">
        <v>1099</v>
      </c>
      <c r="I29" s="282"/>
      <c r="N29" s="30"/>
    </row>
    <row r="30" spans="1:14">
      <c r="A30" s="121" t="s">
        <v>100</v>
      </c>
      <c r="B30" s="283" t="s">
        <v>1100</v>
      </c>
      <c r="C30" s="283" t="s">
        <v>1101</v>
      </c>
      <c r="D30" s="283" t="s">
        <v>1102</v>
      </c>
      <c r="E30" s="283" t="s">
        <v>1103</v>
      </c>
      <c r="F30" s="283" t="s">
        <v>1104</v>
      </c>
      <c r="G30" s="283" t="s">
        <v>1105</v>
      </c>
      <c r="H30" s="283" t="s">
        <v>1106</v>
      </c>
      <c r="I30" s="283" t="s">
        <v>6</v>
      </c>
      <c r="J30" s="183" t="s">
        <v>594</v>
      </c>
      <c r="N30" s="121" t="str">
        <f>A30</f>
        <v>Line</v>
      </c>
    </row>
    <row r="31" spans="1:14">
      <c r="A31" s="133"/>
      <c r="B31" s="177" t="s">
        <v>1107</v>
      </c>
      <c r="C31" s="177"/>
      <c r="D31" s="177"/>
      <c r="N31" s="8"/>
    </row>
    <row r="32" spans="1:14">
      <c r="A32" s="133">
        <v>200</v>
      </c>
      <c r="B32" s="284">
        <v>190</v>
      </c>
      <c r="C32" s="272" t="s">
        <v>1108</v>
      </c>
      <c r="D32" s="638">
        <f t="shared" ref="D32:D40" si="2">SUM(E32:H32)</f>
        <v>-219094425</v>
      </c>
      <c r="E32" s="791">
        <v>-219094425</v>
      </c>
      <c r="F32" s="353"/>
      <c r="G32" s="429"/>
      <c r="H32" s="429"/>
      <c r="I32" s="285" t="s">
        <v>1109</v>
      </c>
      <c r="J32" s="35" t="s">
        <v>1110</v>
      </c>
      <c r="N32" s="8">
        <f t="shared" ref="N32:N41" si="3">A32</f>
        <v>200</v>
      </c>
    </row>
    <row r="33" spans="1:14">
      <c r="A33" s="133">
        <f t="shared" ref="A33:A41" si="4">A32+1</f>
        <v>201</v>
      </c>
      <c r="B33" s="284">
        <v>190</v>
      </c>
      <c r="C33" s="272" t="s">
        <v>1111</v>
      </c>
      <c r="D33" s="638">
        <f t="shared" si="2"/>
        <v>72055771</v>
      </c>
      <c r="E33" s="791">
        <v>72055771</v>
      </c>
      <c r="F33" s="353"/>
      <c r="G33" s="429"/>
      <c r="H33" s="429"/>
      <c r="I33" s="285" t="s">
        <v>1109</v>
      </c>
      <c r="J33" s="35" t="s">
        <v>1112</v>
      </c>
      <c r="N33" s="8">
        <f t="shared" si="3"/>
        <v>201</v>
      </c>
    </row>
    <row r="34" spans="1:14">
      <c r="A34" s="133">
        <f t="shared" si="4"/>
        <v>202</v>
      </c>
      <c r="B34" s="284">
        <v>190</v>
      </c>
      <c r="C34" s="272" t="s">
        <v>1113</v>
      </c>
      <c r="D34" s="638">
        <f t="shared" si="2"/>
        <v>46370272</v>
      </c>
      <c r="E34" s="791">
        <v>13693729</v>
      </c>
      <c r="F34" s="353"/>
      <c r="G34" s="429"/>
      <c r="H34" s="792">
        <v>32676543</v>
      </c>
      <c r="I34" s="285" t="s">
        <v>1114</v>
      </c>
      <c r="J34" s="35" t="s">
        <v>1115</v>
      </c>
      <c r="N34" s="8">
        <f t="shared" si="3"/>
        <v>202</v>
      </c>
    </row>
    <row r="35" spans="1:14">
      <c r="A35" s="133">
        <f t="shared" si="4"/>
        <v>203</v>
      </c>
      <c r="B35" s="284">
        <v>190</v>
      </c>
      <c r="C35" s="272" t="s">
        <v>1116</v>
      </c>
      <c r="D35" s="638">
        <f t="shared" si="2"/>
        <v>57294848</v>
      </c>
      <c r="E35" s="791">
        <v>57294848</v>
      </c>
      <c r="F35" s="429"/>
      <c r="G35" s="429"/>
      <c r="H35" s="429"/>
      <c r="I35" s="285" t="s">
        <v>1109</v>
      </c>
      <c r="J35" s="35" t="s">
        <v>1117</v>
      </c>
      <c r="N35" s="8">
        <f t="shared" si="3"/>
        <v>203</v>
      </c>
    </row>
    <row r="36" spans="1:14">
      <c r="A36" s="133">
        <f t="shared" si="4"/>
        <v>204</v>
      </c>
      <c r="B36" s="284">
        <v>190</v>
      </c>
      <c r="C36" s="272" t="s">
        <v>1118</v>
      </c>
      <c r="D36" s="638">
        <f t="shared" si="2"/>
        <v>1559521843</v>
      </c>
      <c r="E36" s="791">
        <v>1559521843</v>
      </c>
      <c r="F36" s="353"/>
      <c r="G36" s="429"/>
      <c r="H36" s="429"/>
      <c r="I36" s="285" t="s">
        <v>1109</v>
      </c>
      <c r="J36" s="35" t="s">
        <v>1119</v>
      </c>
      <c r="N36" s="8">
        <f t="shared" si="3"/>
        <v>204</v>
      </c>
    </row>
    <row r="37" spans="1:14" ht="15.75" customHeight="1">
      <c r="A37" s="133">
        <f t="shared" si="4"/>
        <v>205</v>
      </c>
      <c r="B37" s="284">
        <v>190</v>
      </c>
      <c r="C37" s="272" t="s">
        <v>1120</v>
      </c>
      <c r="D37" s="638">
        <f t="shared" si="2"/>
        <v>-244848194</v>
      </c>
      <c r="E37" s="428">
        <v>-275368549</v>
      </c>
      <c r="F37" s="353"/>
      <c r="G37" s="429">
        <v>30520355</v>
      </c>
      <c r="H37" s="429"/>
      <c r="I37" s="285" t="s">
        <v>1114</v>
      </c>
      <c r="J37" s="35" t="s">
        <v>1121</v>
      </c>
      <c r="N37" s="8">
        <f t="shared" si="3"/>
        <v>205</v>
      </c>
    </row>
    <row r="38" spans="1:14">
      <c r="A38" s="133">
        <f t="shared" si="4"/>
        <v>206</v>
      </c>
      <c r="B38" s="284">
        <v>190</v>
      </c>
      <c r="C38" s="272" t="s">
        <v>1122</v>
      </c>
      <c r="D38" s="638">
        <f t="shared" si="2"/>
        <v>5694993263</v>
      </c>
      <c r="E38" s="791">
        <v>5289266429.8276653</v>
      </c>
      <c r="F38" s="429">
        <v>405726833.17233497</v>
      </c>
      <c r="G38" s="429"/>
      <c r="H38" s="429"/>
      <c r="I38" s="285" t="s">
        <v>1123</v>
      </c>
      <c r="J38" s="35" t="s">
        <v>1124</v>
      </c>
      <c r="N38" s="8">
        <f t="shared" si="3"/>
        <v>206</v>
      </c>
    </row>
    <row r="39" spans="1:14">
      <c r="A39" s="133">
        <f t="shared" si="4"/>
        <v>207</v>
      </c>
      <c r="B39" s="284">
        <v>190</v>
      </c>
      <c r="C39" s="272" t="s">
        <v>1125</v>
      </c>
      <c r="D39" s="638">
        <f t="shared" si="2"/>
        <v>0</v>
      </c>
      <c r="E39" s="428">
        <v>0</v>
      </c>
      <c r="F39" s="353"/>
      <c r="G39" s="429"/>
      <c r="H39" s="429"/>
      <c r="I39" s="285" t="s">
        <v>1109</v>
      </c>
      <c r="J39" s="35" t="s">
        <v>1126</v>
      </c>
      <c r="N39" s="8">
        <f t="shared" si="3"/>
        <v>207</v>
      </c>
    </row>
    <row r="40" spans="1:14">
      <c r="A40" s="133">
        <f t="shared" si="4"/>
        <v>208</v>
      </c>
      <c r="B40" s="284">
        <v>190</v>
      </c>
      <c r="C40" s="272" t="s">
        <v>1127</v>
      </c>
      <c r="D40" s="638">
        <f t="shared" si="2"/>
        <v>-71624223</v>
      </c>
      <c r="E40" s="791">
        <v>-18188079</v>
      </c>
      <c r="F40" s="793"/>
      <c r="G40" s="792">
        <v>-53436144</v>
      </c>
      <c r="H40" s="429"/>
      <c r="I40" s="285" t="s">
        <v>1114</v>
      </c>
      <c r="J40" s="35" t="s">
        <v>1128</v>
      </c>
      <c r="N40" s="8">
        <f t="shared" si="3"/>
        <v>208</v>
      </c>
    </row>
    <row r="41" spans="1:14">
      <c r="A41" s="133">
        <f t="shared" si="4"/>
        <v>209</v>
      </c>
      <c r="B41" s="284">
        <v>190</v>
      </c>
      <c r="C41" s="272" t="s">
        <v>381</v>
      </c>
      <c r="D41" s="638">
        <f>SUM(E41:H41)</f>
        <v>1805629311</v>
      </c>
      <c r="E41" s="791">
        <v>1781596648.9797633</v>
      </c>
      <c r="F41" s="353">
        <v>24032662.020236846</v>
      </c>
      <c r="G41" s="794"/>
      <c r="H41" s="429"/>
      <c r="I41" s="285" t="s">
        <v>1114</v>
      </c>
      <c r="J41" s="35" t="s">
        <v>1129</v>
      </c>
      <c r="N41" s="8">
        <f t="shared" si="3"/>
        <v>209</v>
      </c>
    </row>
    <row r="42" spans="1:14">
      <c r="A42" s="133"/>
      <c r="B42" s="286"/>
      <c r="C42" s="177"/>
      <c r="D42" s="185"/>
      <c r="E42" s="20"/>
      <c r="F42" s="20"/>
      <c r="G42" s="20"/>
      <c r="H42" s="20"/>
      <c r="I42" s="13"/>
      <c r="N42" s="8"/>
    </row>
    <row r="43" spans="1:14">
      <c r="A43" s="133">
        <f>+A41+1</f>
        <v>210</v>
      </c>
      <c r="B43" s="177"/>
      <c r="C43" s="177" t="s">
        <v>1130</v>
      </c>
      <c r="D43" s="430">
        <f>SUM(D32:D41)</f>
        <v>8700298466</v>
      </c>
      <c r="E43" s="430">
        <f>SUM(E32:E41)</f>
        <v>8260778216.8074284</v>
      </c>
      <c r="F43" s="431">
        <f>SUM(F32:F41)</f>
        <v>429759495.19257182</v>
      </c>
      <c r="G43" s="431">
        <f>SUM(G32:G41)</f>
        <v>-22915789</v>
      </c>
      <c r="H43" s="431">
        <f>SUM(H32:H41)</f>
        <v>32676543</v>
      </c>
      <c r="I43" s="35" t="str">
        <f>"Sum of Above Lines beginning on Line "&amp;A32&amp;""</f>
        <v>Sum of Above Lines beginning on Line 200</v>
      </c>
      <c r="N43" s="8">
        <f>A43</f>
        <v>210</v>
      </c>
    </row>
    <row r="44" spans="1:14">
      <c r="A44" s="133">
        <f>A43+1</f>
        <v>211</v>
      </c>
      <c r="B44" s="177"/>
      <c r="C44" s="177" t="s">
        <v>1131</v>
      </c>
      <c r="D44" s="288"/>
      <c r="E44" s="288">
        <f>+D48-D43</f>
        <v>0</v>
      </c>
      <c r="F44" s="288"/>
      <c r="G44" s="310">
        <f>'24-Allocators'!C33</f>
        <v>0.21932528287670497</v>
      </c>
      <c r="H44" s="310">
        <f>'24-Allocators'!C23</f>
        <v>0.14690087374748809</v>
      </c>
      <c r="I44" s="289" t="s">
        <v>1132</v>
      </c>
      <c r="N44" s="8">
        <f>A44</f>
        <v>211</v>
      </c>
    </row>
    <row r="45" spans="1:14">
      <c r="A45" s="133">
        <f>+A44+1</f>
        <v>212</v>
      </c>
      <c r="B45" s="177"/>
      <c r="C45" s="178" t="s">
        <v>1133</v>
      </c>
      <c r="D45" s="551">
        <f>SUM(F45:H45)</f>
        <v>429533696.00555134</v>
      </c>
      <c r="E45" s="431"/>
      <c r="F45" s="432">
        <f>+F43</f>
        <v>429759495.19257182</v>
      </c>
      <c r="G45" s="432">
        <f>+G43*G44</f>
        <v>-5026011.9047678839</v>
      </c>
      <c r="H45" s="432">
        <f>+H43*H44</f>
        <v>4800212.7177473661</v>
      </c>
      <c r="I45" s="291" t="str">
        <f>CONCATENATE("Line ",A43," * ","Line ",A44," for Cols 5 and 6")</f>
        <v>Line 210 * Line 211 for Cols 5 and 6</v>
      </c>
      <c r="N45" s="8">
        <f>A45</f>
        <v>212</v>
      </c>
    </row>
    <row r="46" spans="1:14">
      <c r="A46" s="133"/>
      <c r="B46" s="177"/>
      <c r="C46" s="292" t="s">
        <v>1134</v>
      </c>
      <c r="D46" s="288"/>
      <c r="E46" s="288"/>
      <c r="F46" s="288"/>
      <c r="G46" s="288"/>
      <c r="H46" s="288"/>
      <c r="I46" s="291"/>
      <c r="N46" s="8"/>
    </row>
    <row r="47" spans="1:14">
      <c r="A47" s="133"/>
      <c r="B47" s="177"/>
      <c r="C47" s="177"/>
      <c r="D47" s="287"/>
      <c r="E47" s="288"/>
      <c r="F47" s="288"/>
      <c r="G47" s="288"/>
      <c r="H47" s="288"/>
      <c r="I47" s="291"/>
      <c r="N47" s="8"/>
    </row>
    <row r="48" spans="1:14">
      <c r="A48" s="133">
        <f>+A45+1</f>
        <v>213</v>
      </c>
      <c r="B48" s="177"/>
      <c r="C48" s="177" t="s">
        <v>1135</v>
      </c>
      <c r="D48" s="790">
        <v>8700298466</v>
      </c>
      <c r="E48" s="293" t="str">
        <f>CONCATENATE("Must match amount on Line ",A43," ",D28)</f>
        <v>Must match amount on Line 210 Col 2</v>
      </c>
      <c r="G48" s="288"/>
      <c r="H48" s="288"/>
      <c r="J48" s="291" t="s">
        <v>1136</v>
      </c>
      <c r="N48" s="8">
        <f>A48</f>
        <v>213</v>
      </c>
    </row>
    <row r="49" spans="1:14">
      <c r="A49" s="133"/>
      <c r="B49" s="177"/>
      <c r="C49" s="177"/>
      <c r="D49" s="294"/>
      <c r="E49" s="294"/>
      <c r="F49" s="294"/>
      <c r="G49" s="294"/>
      <c r="H49" s="294"/>
      <c r="I49" s="238"/>
      <c r="N49" s="8"/>
    </row>
    <row r="50" spans="1:14">
      <c r="A50" s="27"/>
      <c r="B50" s="180" t="s">
        <v>1137</v>
      </c>
      <c r="C50" s="295"/>
      <c r="D50" s="296"/>
      <c r="E50" s="55"/>
      <c r="F50" s="55"/>
      <c r="G50" s="55"/>
      <c r="H50" s="55"/>
      <c r="I50" s="55"/>
      <c r="J50" s="55"/>
      <c r="K50" s="55"/>
      <c r="L50" s="55"/>
      <c r="M50" s="55"/>
      <c r="N50" s="8"/>
    </row>
    <row r="51" spans="1:14">
      <c r="A51" s="27"/>
      <c r="C51" s="124" t="s">
        <v>371</v>
      </c>
      <c r="D51" s="124" t="s">
        <v>372</v>
      </c>
      <c r="E51" s="124" t="s">
        <v>373</v>
      </c>
      <c r="F51" s="124" t="s">
        <v>374</v>
      </c>
      <c r="G51" s="124" t="s">
        <v>375</v>
      </c>
      <c r="H51" s="124" t="s">
        <v>376</v>
      </c>
      <c r="I51" s="124" t="s">
        <v>377</v>
      </c>
      <c r="N51" s="8"/>
    </row>
    <row r="52" spans="1:14">
      <c r="A52" s="27"/>
      <c r="B52" s="183"/>
      <c r="C52" s="183"/>
      <c r="D52" s="183" t="s">
        <v>1097</v>
      </c>
      <c r="E52" s="183" t="s">
        <v>1098</v>
      </c>
      <c r="F52" s="183"/>
      <c r="G52" s="183" t="s">
        <v>1138</v>
      </c>
      <c r="H52" s="183" t="s">
        <v>1139</v>
      </c>
      <c r="I52" s="282"/>
      <c r="N52" s="8"/>
    </row>
    <row r="53" spans="1:14">
      <c r="A53" s="121" t="s">
        <v>100</v>
      </c>
      <c r="B53" s="283" t="s">
        <v>1140</v>
      </c>
      <c r="C53" s="283" t="s">
        <v>1101</v>
      </c>
      <c r="D53" s="283" t="s">
        <v>1102</v>
      </c>
      <c r="E53" s="283" t="s">
        <v>1103</v>
      </c>
      <c r="F53" s="283" t="s">
        <v>1104</v>
      </c>
      <c r="G53" s="283" t="s">
        <v>1105</v>
      </c>
      <c r="H53" s="283" t="s">
        <v>1106</v>
      </c>
      <c r="I53" s="283" t="s">
        <v>6</v>
      </c>
      <c r="N53" s="121" t="str">
        <f t="shared" ref="N53:N60" si="5">A53</f>
        <v>Line</v>
      </c>
    </row>
    <row r="54" spans="1:14">
      <c r="A54" s="133">
        <v>300</v>
      </c>
      <c r="B54" s="297">
        <v>282</v>
      </c>
      <c r="C54" s="93" t="s">
        <v>1141</v>
      </c>
      <c r="D54" s="639">
        <f t="shared" ref="D54:D60" si="6">SUM(E54:H54)</f>
        <v>-1950960688</v>
      </c>
      <c r="E54" s="429"/>
      <c r="F54" s="795">
        <v>-1950960688</v>
      </c>
      <c r="G54" s="429"/>
      <c r="H54" s="429"/>
      <c r="I54" s="285" t="s">
        <v>1123</v>
      </c>
      <c r="J54" s="35" t="s">
        <v>1142</v>
      </c>
      <c r="N54" s="8">
        <f t="shared" si="5"/>
        <v>300</v>
      </c>
    </row>
    <row r="55" spans="1:14">
      <c r="A55" s="133">
        <f t="shared" ref="A55:A60" si="7">A54+1</f>
        <v>301</v>
      </c>
      <c r="B55" s="297">
        <v>282</v>
      </c>
      <c r="C55" s="93" t="s">
        <v>1143</v>
      </c>
      <c r="D55" s="639">
        <f t="shared" si="6"/>
        <v>-7380974700</v>
      </c>
      <c r="E55" s="795">
        <v>-7380974700</v>
      </c>
      <c r="F55" s="429"/>
      <c r="G55" s="429"/>
      <c r="H55" s="429"/>
      <c r="I55" s="285" t="s">
        <v>1144</v>
      </c>
      <c r="J55" s="35"/>
      <c r="N55" s="8">
        <f t="shared" si="5"/>
        <v>301</v>
      </c>
    </row>
    <row r="56" spans="1:14">
      <c r="A56" s="133">
        <f t="shared" si="7"/>
        <v>302</v>
      </c>
      <c r="B56" s="297">
        <v>282</v>
      </c>
      <c r="C56" s="93" t="s">
        <v>1145</v>
      </c>
      <c r="D56" s="639">
        <f t="shared" si="6"/>
        <v>-481179946</v>
      </c>
      <c r="E56" s="429"/>
      <c r="F56" s="429"/>
      <c r="G56" s="795">
        <v>-481179946</v>
      </c>
      <c r="H56" s="429"/>
      <c r="I56" s="285" t="s">
        <v>1146</v>
      </c>
      <c r="J56" s="35" t="s">
        <v>1147</v>
      </c>
      <c r="N56" s="8">
        <f t="shared" si="5"/>
        <v>302</v>
      </c>
    </row>
    <row r="57" spans="1:14">
      <c r="A57" s="133">
        <f t="shared" si="7"/>
        <v>303</v>
      </c>
      <c r="B57" s="297"/>
      <c r="C57" s="93"/>
      <c r="D57" s="639">
        <f t="shared" si="6"/>
        <v>0</v>
      </c>
      <c r="E57" s="429"/>
      <c r="F57" s="429"/>
      <c r="G57" s="429"/>
      <c r="H57" s="429"/>
      <c r="I57" s="285"/>
      <c r="J57" s="35"/>
      <c r="N57" s="8">
        <f t="shared" si="5"/>
        <v>303</v>
      </c>
    </row>
    <row r="58" spans="1:14">
      <c r="A58" s="133">
        <f t="shared" si="7"/>
        <v>304</v>
      </c>
      <c r="B58" s="297"/>
      <c r="C58" s="93"/>
      <c r="D58" s="639">
        <f t="shared" si="6"/>
        <v>0</v>
      </c>
      <c r="E58" s="429"/>
      <c r="F58" s="429"/>
      <c r="G58" s="429"/>
      <c r="H58" s="429"/>
      <c r="I58" s="285"/>
      <c r="J58" s="35"/>
      <c r="N58" s="8">
        <f t="shared" si="5"/>
        <v>304</v>
      </c>
    </row>
    <row r="59" spans="1:14">
      <c r="A59" s="133">
        <f t="shared" si="7"/>
        <v>305</v>
      </c>
      <c r="B59" s="297"/>
      <c r="C59" s="93"/>
      <c r="D59" s="639">
        <f t="shared" si="6"/>
        <v>0</v>
      </c>
      <c r="E59" s="429"/>
      <c r="F59" s="429"/>
      <c r="G59" s="429"/>
      <c r="H59" s="429"/>
      <c r="I59" s="285"/>
      <c r="J59" s="35"/>
      <c r="N59" s="8">
        <f t="shared" si="5"/>
        <v>305</v>
      </c>
    </row>
    <row r="60" spans="1:14">
      <c r="A60" s="133">
        <f t="shared" si="7"/>
        <v>306</v>
      </c>
      <c r="B60" s="284"/>
      <c r="C60" s="272"/>
      <c r="D60" s="639">
        <f t="shared" si="6"/>
        <v>0</v>
      </c>
      <c r="E60" s="353"/>
      <c r="F60" s="353"/>
      <c r="G60" s="353"/>
      <c r="H60" s="353"/>
      <c r="I60" s="50"/>
      <c r="N60" s="8">
        <f t="shared" si="5"/>
        <v>306</v>
      </c>
    </row>
    <row r="61" spans="1:14">
      <c r="A61" s="133"/>
      <c r="B61" s="142"/>
      <c r="C61" s="17"/>
      <c r="D61" s="287"/>
      <c r="E61" s="20"/>
      <c r="F61" s="20"/>
      <c r="G61" s="20"/>
      <c r="H61" s="20"/>
      <c r="N61" s="8"/>
    </row>
    <row r="62" spans="1:14">
      <c r="A62" s="133">
        <f>+A60+1</f>
        <v>307</v>
      </c>
      <c r="B62" s="27"/>
      <c r="C62" s="17" t="s">
        <v>1148</v>
      </c>
      <c r="D62" s="431">
        <f>SUM(D54:D60)</f>
        <v>-9813115334</v>
      </c>
      <c r="E62" s="431">
        <f>SUM(E54:E60)</f>
        <v>-7380974700</v>
      </c>
      <c r="F62" s="431">
        <f>SUM(F54:F60)</f>
        <v>-1950960688</v>
      </c>
      <c r="G62" s="431">
        <f>SUM(G54:G60)</f>
        <v>-481179946</v>
      </c>
      <c r="H62" s="431">
        <f>SUM(H54:H60)</f>
        <v>0</v>
      </c>
      <c r="I62" s="35" t="str">
        <f>"Sum of Above Lines beginning on Line "&amp;A54&amp;""</f>
        <v>Sum of Above Lines beginning on Line 300</v>
      </c>
      <c r="N62" s="8">
        <f>A62</f>
        <v>307</v>
      </c>
    </row>
    <row r="63" spans="1:14">
      <c r="A63" s="133">
        <f>+A62+1</f>
        <v>308</v>
      </c>
      <c r="B63" s="177"/>
      <c r="C63" s="177" t="s">
        <v>1131</v>
      </c>
      <c r="D63" s="288"/>
      <c r="E63" s="288"/>
      <c r="F63" s="231">
        <f>+'24-Allocators'!C37</f>
        <v>0.951104471035909</v>
      </c>
      <c r="G63" s="310">
        <f>'24-Allocators'!$C$29</f>
        <v>0.16303308552822116</v>
      </c>
      <c r="H63" s="310">
        <f>'24-Allocators'!$C$24</f>
        <v>0.10327848903946341</v>
      </c>
      <c r="I63" s="289" t="s">
        <v>1149</v>
      </c>
      <c r="N63" s="8">
        <f>A63</f>
        <v>308</v>
      </c>
    </row>
    <row r="64" spans="1:14">
      <c r="A64" s="133">
        <f>+A63+1</f>
        <v>309</v>
      </c>
      <c r="B64" s="177"/>
      <c r="C64" s="178" t="s">
        <v>1150</v>
      </c>
      <c r="D64" s="551">
        <f>SUM(F64:H64)</f>
        <v>-1934015684.4627759</v>
      </c>
      <c r="E64" s="434"/>
      <c r="F64" s="442">
        <f>+F62*F63</f>
        <v>-1855567433.1720932</v>
      </c>
      <c r="G64" s="432">
        <f>+G62*G63</f>
        <v>-78448251.290682837</v>
      </c>
      <c r="H64" s="432">
        <f>+H62*H63</f>
        <v>0</v>
      </c>
      <c r="I64" s="291" t="str">
        <f>CONCATENATE("Line ",A62," * ","Line ",A63," for Cols 4 to 6")</f>
        <v>Line 307 * Line 308 for Cols 4 to 6</v>
      </c>
      <c r="N64" s="8">
        <f>A64</f>
        <v>309</v>
      </c>
    </row>
    <row r="65" spans="1:14">
      <c r="A65" s="133"/>
      <c r="B65" s="177"/>
      <c r="C65" s="292" t="s">
        <v>1134</v>
      </c>
      <c r="E65" s="288"/>
      <c r="F65" s="288"/>
      <c r="G65" s="288"/>
      <c r="H65" s="288"/>
      <c r="I65" s="291"/>
      <c r="N65" s="8"/>
    </row>
    <row r="66" spans="1:14">
      <c r="A66" s="133"/>
      <c r="B66" s="177"/>
      <c r="D66" s="292"/>
      <c r="E66" s="288"/>
      <c r="F66" s="288"/>
      <c r="G66" s="288"/>
      <c r="H66" s="288"/>
      <c r="I66" s="291"/>
      <c r="N66" s="8"/>
    </row>
    <row r="67" spans="1:14">
      <c r="A67" s="133">
        <f>+A64+1</f>
        <v>310</v>
      </c>
      <c r="B67" s="27"/>
      <c r="C67" s="177" t="s">
        <v>1151</v>
      </c>
      <c r="D67" s="640">
        <v>-9813115334</v>
      </c>
      <c r="E67" s="293"/>
      <c r="F67" s="288"/>
      <c r="G67" s="288"/>
      <c r="H67" s="288"/>
      <c r="J67" s="35" t="s">
        <v>1152</v>
      </c>
      <c r="N67" s="8">
        <f>A67</f>
        <v>310</v>
      </c>
    </row>
    <row r="68" spans="1:14">
      <c r="A68" s="133">
        <f>A67+1</f>
        <v>311</v>
      </c>
      <c r="B68" s="27"/>
      <c r="C68" s="177" t="s">
        <v>1153</v>
      </c>
      <c r="D68" s="430"/>
      <c r="E68" s="293"/>
      <c r="F68" s="288"/>
      <c r="G68" s="288"/>
      <c r="H68" s="288"/>
      <c r="J68" s="35"/>
      <c r="N68" s="8">
        <f>A68</f>
        <v>311</v>
      </c>
    </row>
    <row r="69" spans="1:14" ht="15" thickBot="1">
      <c r="A69" s="133">
        <f>A68+1</f>
        <v>312</v>
      </c>
      <c r="B69" s="27"/>
      <c r="C69" s="177" t="s">
        <v>1151</v>
      </c>
      <c r="D69" s="435">
        <f>SUM(D67:D68)</f>
        <v>-9813115334</v>
      </c>
      <c r="E69" s="293" t="str">
        <f>CONCATENATE("Must match amount on Line ",A62," ",D51)</f>
        <v>Must match amount on Line 307 Col 2</v>
      </c>
      <c r="F69" s="288"/>
      <c r="G69" s="288"/>
      <c r="H69" s="288"/>
      <c r="I69" s="238"/>
      <c r="N69" s="8">
        <f>A69</f>
        <v>312</v>
      </c>
    </row>
    <row r="70" spans="1:14" ht="15" thickTop="1">
      <c r="A70" s="133"/>
      <c r="B70" s="27"/>
      <c r="C70" s="17"/>
      <c r="D70" s="287"/>
      <c r="E70" s="293"/>
      <c r="F70" s="288"/>
      <c r="G70" s="288"/>
      <c r="H70" s="288"/>
      <c r="I70" s="238"/>
      <c r="N70" s="8"/>
    </row>
    <row r="71" spans="1:14">
      <c r="A71" s="27"/>
      <c r="B71" s="180" t="s">
        <v>1154</v>
      </c>
      <c r="C71" s="181"/>
      <c r="D71" s="298"/>
      <c r="E71" s="60"/>
      <c r="F71" s="60"/>
      <c r="G71" s="60"/>
      <c r="H71" s="60"/>
      <c r="I71" s="55"/>
      <c r="J71" s="55"/>
      <c r="K71" s="55"/>
      <c r="L71" s="55"/>
      <c r="M71" s="55"/>
      <c r="N71" s="8"/>
    </row>
    <row r="72" spans="1:14">
      <c r="A72" s="27"/>
      <c r="B72" s="178"/>
      <c r="C72" s="124" t="s">
        <v>371</v>
      </c>
      <c r="D72" s="124" t="s">
        <v>372</v>
      </c>
      <c r="E72" s="124" t="s">
        <v>373</v>
      </c>
      <c r="F72" s="124" t="s">
        <v>374</v>
      </c>
      <c r="G72" s="124" t="s">
        <v>375</v>
      </c>
      <c r="H72" s="124" t="s">
        <v>376</v>
      </c>
      <c r="I72" s="124" t="s">
        <v>377</v>
      </c>
      <c r="N72" s="8"/>
    </row>
    <row r="73" spans="1:14">
      <c r="A73" s="27"/>
      <c r="B73" s="183"/>
      <c r="C73" s="183"/>
      <c r="D73" s="183" t="s">
        <v>1097</v>
      </c>
      <c r="E73" s="183" t="s">
        <v>1098</v>
      </c>
      <c r="F73" s="299"/>
      <c r="G73" s="183" t="s">
        <v>1138</v>
      </c>
      <c r="H73" s="183" t="s">
        <v>1139</v>
      </c>
      <c r="I73" s="282"/>
      <c r="N73" s="8"/>
    </row>
    <row r="74" spans="1:14">
      <c r="A74" s="121" t="s">
        <v>100</v>
      </c>
      <c r="B74" s="283" t="s">
        <v>1155</v>
      </c>
      <c r="C74" s="283" t="s">
        <v>1101</v>
      </c>
      <c r="D74" s="283" t="s">
        <v>1102</v>
      </c>
      <c r="E74" s="283" t="s">
        <v>1103</v>
      </c>
      <c r="F74" s="300" t="s">
        <v>1104</v>
      </c>
      <c r="G74" s="300" t="s">
        <v>1105</v>
      </c>
      <c r="H74" s="300" t="s">
        <v>1106</v>
      </c>
      <c r="I74" s="283" t="s">
        <v>6</v>
      </c>
      <c r="N74" s="121" t="str">
        <f>A74</f>
        <v>Line</v>
      </c>
    </row>
    <row r="75" spans="1:14">
      <c r="A75" s="133"/>
      <c r="B75" s="177" t="s">
        <v>1107</v>
      </c>
      <c r="D75" s="20"/>
      <c r="E75" s="20"/>
      <c r="F75" s="20"/>
      <c r="G75" s="20"/>
      <c r="H75" s="20"/>
      <c r="N75" s="8"/>
    </row>
    <row r="76" spans="1:14">
      <c r="A76" s="133">
        <v>400</v>
      </c>
      <c r="B76" s="297">
        <v>283</v>
      </c>
      <c r="C76" s="93" t="s">
        <v>1156</v>
      </c>
      <c r="D76" s="639">
        <f>SUM(E76:H76)</f>
        <v>-39328848</v>
      </c>
      <c r="E76" s="479">
        <v>-39328848</v>
      </c>
      <c r="F76" s="479"/>
      <c r="G76" s="479"/>
      <c r="H76" s="479"/>
      <c r="I76" s="285" t="s">
        <v>1109</v>
      </c>
      <c r="J76" s="35" t="s">
        <v>1157</v>
      </c>
      <c r="N76" s="8">
        <f>A76</f>
        <v>400</v>
      </c>
    </row>
    <row r="77" spans="1:14">
      <c r="A77" s="133">
        <f>A76+1</f>
        <v>401</v>
      </c>
      <c r="B77" s="297">
        <v>283</v>
      </c>
      <c r="C77" s="93" t="s">
        <v>1158</v>
      </c>
      <c r="D77" s="639">
        <f>SUM(E77:H77)</f>
        <v>-2005703135</v>
      </c>
      <c r="E77" s="479">
        <v>-2005703135</v>
      </c>
      <c r="F77" s="479"/>
      <c r="G77" s="479"/>
      <c r="H77" s="479"/>
      <c r="I77" s="285" t="s">
        <v>1159</v>
      </c>
      <c r="J77" s="35" t="s">
        <v>1160</v>
      </c>
      <c r="N77" s="8">
        <f>A77</f>
        <v>401</v>
      </c>
    </row>
    <row r="78" spans="1:14">
      <c r="A78" s="133">
        <f>A77+1</f>
        <v>402</v>
      </c>
      <c r="B78" s="297">
        <v>283</v>
      </c>
      <c r="C78" s="93" t="s">
        <v>381</v>
      </c>
      <c r="D78" s="639">
        <f>SUM(E78:H78)</f>
        <v>-365098002</v>
      </c>
      <c r="E78" s="479">
        <v>-365098002</v>
      </c>
      <c r="F78" s="479"/>
      <c r="G78" s="479"/>
      <c r="H78" s="479"/>
      <c r="I78" s="285" t="s">
        <v>1109</v>
      </c>
      <c r="J78" s="35" t="s">
        <v>1161</v>
      </c>
      <c r="N78" s="8">
        <f>A78</f>
        <v>402</v>
      </c>
    </row>
    <row r="79" spans="1:14">
      <c r="A79" s="133">
        <f>A78+1</f>
        <v>403</v>
      </c>
      <c r="B79" s="297"/>
      <c r="C79" s="93"/>
      <c r="D79" s="639"/>
      <c r="E79" s="479"/>
      <c r="F79" s="479"/>
      <c r="G79" s="479"/>
      <c r="H79" s="479"/>
      <c r="I79" s="285"/>
      <c r="J79" s="35"/>
      <c r="N79" s="8">
        <f>A79</f>
        <v>403</v>
      </c>
    </row>
    <row r="80" spans="1:14">
      <c r="A80" s="133"/>
      <c r="B80" s="118"/>
      <c r="C80" s="17"/>
      <c r="D80" s="166"/>
      <c r="E80" s="20"/>
      <c r="F80" s="20"/>
      <c r="G80" s="20"/>
      <c r="H80" s="20"/>
      <c r="N80" s="8"/>
    </row>
    <row r="81" spans="1:14">
      <c r="A81" s="133">
        <f>A79+1</f>
        <v>404</v>
      </c>
      <c r="B81" s="17"/>
      <c r="C81" s="17" t="s">
        <v>1162</v>
      </c>
      <c r="D81" s="431">
        <f>SUM(D76:D79)</f>
        <v>-2410129985</v>
      </c>
      <c r="E81" s="431">
        <f>SUM(E76:E79)</f>
        <v>-2410129985</v>
      </c>
      <c r="F81" s="431">
        <f>SUM(F76:F79)</f>
        <v>0</v>
      </c>
      <c r="G81" s="431">
        <f>SUM(G76:G79)</f>
        <v>0</v>
      </c>
      <c r="H81" s="431">
        <f>SUM(H76:H79)</f>
        <v>0</v>
      </c>
      <c r="I81" s="35" t="str">
        <f>"Sum of Above Lines beginning on Line "&amp;A76&amp;""</f>
        <v>Sum of Above Lines beginning on Line 400</v>
      </c>
      <c r="N81" s="8">
        <f>A81</f>
        <v>404</v>
      </c>
    </row>
    <row r="82" spans="1:14">
      <c r="A82" s="133">
        <f>A81+1</f>
        <v>405</v>
      </c>
      <c r="B82" s="177"/>
      <c r="C82" s="177" t="s">
        <v>1131</v>
      </c>
      <c r="D82" s="301"/>
      <c r="E82" s="301"/>
      <c r="F82" s="288"/>
      <c r="G82" s="310">
        <f>'24-Allocators'!$C$29</f>
        <v>0.16303308552822116</v>
      </c>
      <c r="H82" s="310">
        <f>'24-Allocators'!$C$24</f>
        <v>0.10327848903946341</v>
      </c>
      <c r="I82" s="289" t="s">
        <v>1163</v>
      </c>
      <c r="N82" s="8">
        <f>A82</f>
        <v>405</v>
      </c>
    </row>
    <row r="83" spans="1:14">
      <c r="A83" s="133">
        <f>+A82+1</f>
        <v>406</v>
      </c>
      <c r="B83" s="177"/>
      <c r="C83" s="178" t="s">
        <v>1164</v>
      </c>
      <c r="D83" s="552">
        <f>SUM(F83:H83)</f>
        <v>0</v>
      </c>
      <c r="E83" s="288"/>
      <c r="F83" s="290">
        <f>+F81</f>
        <v>0</v>
      </c>
      <c r="G83" s="290">
        <f>+G81*G82</f>
        <v>0</v>
      </c>
      <c r="H83" s="302">
        <f>+H81*H82</f>
        <v>0</v>
      </c>
      <c r="I83" s="291" t="str">
        <f>CONCATENATE("Line ",A81," * ","Line ",A82," for Cols 5 and 6")</f>
        <v>Line 404 * Line 405 for Cols 5 and 6</v>
      </c>
      <c r="N83" s="8">
        <f>A83</f>
        <v>406</v>
      </c>
    </row>
    <row r="84" spans="1:14">
      <c r="A84" s="133"/>
      <c r="C84" s="292" t="s">
        <v>1134</v>
      </c>
      <c r="D84" s="166"/>
      <c r="E84" s="166"/>
      <c r="F84" s="166"/>
      <c r="G84" s="166"/>
      <c r="H84" s="166"/>
      <c r="I84" s="291"/>
      <c r="J84" s="20"/>
      <c r="N84" s="8"/>
    </row>
    <row r="85" spans="1:14">
      <c r="A85" s="133"/>
      <c r="C85" s="17"/>
      <c r="D85" s="166"/>
      <c r="E85" s="166"/>
      <c r="F85" s="166"/>
      <c r="G85" s="166"/>
      <c r="H85" s="166"/>
      <c r="I85" s="291"/>
      <c r="N85" s="8"/>
    </row>
    <row r="86" spans="1:14">
      <c r="A86" s="133">
        <f>A83+1</f>
        <v>407</v>
      </c>
      <c r="C86" s="177" t="s">
        <v>1165</v>
      </c>
      <c r="D86" s="640">
        <v>-2410129985</v>
      </c>
      <c r="E86" s="293" t="str">
        <f>CONCATENATE("Must match amount on Line ",A81," ",D72)</f>
        <v>Must match amount on Line 404 Col 2</v>
      </c>
      <c r="F86" s="288"/>
      <c r="G86" s="288"/>
      <c r="H86" s="288"/>
      <c r="J86" s="35" t="s">
        <v>1166</v>
      </c>
      <c r="N86" s="8">
        <f>A86</f>
        <v>407</v>
      </c>
    </row>
    <row r="87" spans="1:14">
      <c r="A87" s="133"/>
      <c r="C87" s="177"/>
      <c r="D87" s="293"/>
      <c r="E87" s="293"/>
      <c r="F87" s="288"/>
      <c r="G87" s="288"/>
      <c r="H87" s="288"/>
      <c r="I87" s="35"/>
      <c r="N87" s="8"/>
    </row>
    <row r="88" spans="1:14">
      <c r="A88" s="27"/>
      <c r="B88" s="180" t="s">
        <v>1167</v>
      </c>
      <c r="C88" s="181"/>
      <c r="D88" s="298"/>
      <c r="E88" s="60"/>
      <c r="F88" s="60"/>
      <c r="G88" s="60"/>
      <c r="H88" s="60"/>
      <c r="I88" s="55"/>
      <c r="J88" s="55"/>
      <c r="K88" s="55"/>
      <c r="L88" s="55"/>
      <c r="M88" s="55"/>
      <c r="N88" s="8"/>
    </row>
    <row r="89" spans="1:14">
      <c r="A89" s="27"/>
      <c r="B89" s="178"/>
      <c r="C89" s="124" t="s">
        <v>371</v>
      </c>
      <c r="D89" s="124" t="s">
        <v>372</v>
      </c>
      <c r="E89" s="124" t="s">
        <v>373</v>
      </c>
      <c r="F89" s="124" t="s">
        <v>374</v>
      </c>
      <c r="G89" s="124" t="s">
        <v>375</v>
      </c>
      <c r="H89" s="124" t="s">
        <v>376</v>
      </c>
      <c r="I89" s="124" t="s">
        <v>377</v>
      </c>
      <c r="N89" s="8"/>
    </row>
    <row r="90" spans="1:14">
      <c r="A90" s="27"/>
      <c r="B90" s="183"/>
      <c r="C90" s="183"/>
      <c r="D90" s="183" t="s">
        <v>1097</v>
      </c>
      <c r="E90" s="183" t="s">
        <v>1098</v>
      </c>
      <c r="F90" s="299"/>
      <c r="G90" s="183" t="s">
        <v>1138</v>
      </c>
      <c r="H90" s="183" t="s">
        <v>1139</v>
      </c>
      <c r="I90" s="282"/>
      <c r="N90" s="8"/>
    </row>
    <row r="91" spans="1:14">
      <c r="A91" s="121" t="s">
        <v>100</v>
      </c>
      <c r="B91" s="283" t="s">
        <v>1168</v>
      </c>
      <c r="C91" s="283" t="s">
        <v>1101</v>
      </c>
      <c r="D91" s="283" t="s">
        <v>1102</v>
      </c>
      <c r="E91" s="283" t="s">
        <v>1103</v>
      </c>
      <c r="F91" s="300" t="s">
        <v>1104</v>
      </c>
      <c r="G91" s="300" t="s">
        <v>1105</v>
      </c>
      <c r="H91" s="300" t="s">
        <v>1106</v>
      </c>
      <c r="I91" s="283" t="s">
        <v>6</v>
      </c>
      <c r="N91" s="121" t="str">
        <f>A91</f>
        <v>Line</v>
      </c>
    </row>
    <row r="92" spans="1:14">
      <c r="A92" s="133"/>
      <c r="B92" s="177" t="s">
        <v>1107</v>
      </c>
      <c r="D92" s="20"/>
      <c r="E92" s="20"/>
      <c r="F92" s="20"/>
      <c r="G92" s="20"/>
      <c r="H92" s="20"/>
      <c r="N92" s="8"/>
    </row>
    <row r="93" spans="1:14">
      <c r="A93" s="133">
        <v>500</v>
      </c>
      <c r="B93" s="297">
        <v>255</v>
      </c>
      <c r="C93" s="93" t="s">
        <v>1169</v>
      </c>
      <c r="D93" s="639">
        <f>SUM(E93:H93)</f>
        <v>-86730569</v>
      </c>
      <c r="E93" s="796">
        <v>-83953362</v>
      </c>
      <c r="F93" s="796">
        <v>-2777207</v>
      </c>
      <c r="G93" s="479"/>
      <c r="H93" s="479"/>
      <c r="I93" s="285" t="s">
        <v>1123</v>
      </c>
      <c r="J93" s="35" t="s">
        <v>1170</v>
      </c>
      <c r="N93" s="8">
        <f>A93</f>
        <v>500</v>
      </c>
    </row>
    <row r="94" spans="1:14">
      <c r="A94" s="133">
        <f>A93+1</f>
        <v>501</v>
      </c>
      <c r="B94" s="297">
        <v>255</v>
      </c>
      <c r="C94" s="93" t="s">
        <v>1171</v>
      </c>
      <c r="D94" s="639">
        <f>SUM(E94:H94)</f>
        <v>-9847925</v>
      </c>
      <c r="E94" s="479"/>
      <c r="F94" s="479"/>
      <c r="G94" s="796">
        <v>-9847925</v>
      </c>
      <c r="H94" s="479"/>
      <c r="I94" s="285" t="s">
        <v>1146</v>
      </c>
      <c r="J94" s="35" t="s">
        <v>1172</v>
      </c>
      <c r="N94" s="8">
        <f>A94</f>
        <v>501</v>
      </c>
    </row>
    <row r="95" spans="1:14">
      <c r="A95" s="133">
        <f>+A94+1</f>
        <v>502</v>
      </c>
      <c r="B95" s="297">
        <v>255</v>
      </c>
      <c r="C95" s="93" t="s">
        <v>1173</v>
      </c>
      <c r="D95" s="639">
        <f>SUM(E95:H95)</f>
        <v>36396</v>
      </c>
      <c r="E95" s="796">
        <v>36396</v>
      </c>
      <c r="F95" s="479"/>
      <c r="G95" s="479"/>
      <c r="H95" s="479"/>
      <c r="I95" s="285" t="s">
        <v>1109</v>
      </c>
      <c r="N95" s="8">
        <f>A95</f>
        <v>502</v>
      </c>
    </row>
    <row r="96" spans="1:14">
      <c r="A96" s="133"/>
      <c r="B96" s="118"/>
      <c r="C96" s="17"/>
      <c r="D96" s="166"/>
      <c r="E96" s="20"/>
      <c r="F96" s="20"/>
      <c r="G96" s="20"/>
      <c r="H96" s="20"/>
      <c r="N96" s="8"/>
    </row>
    <row r="97" spans="1:14">
      <c r="A97" s="133">
        <f>A95+1</f>
        <v>503</v>
      </c>
      <c r="B97" s="17"/>
      <c r="C97" s="17" t="s">
        <v>1174</v>
      </c>
      <c r="D97" s="431">
        <f>SUM(D93:D95)</f>
        <v>-96542098</v>
      </c>
      <c r="E97" s="431">
        <f>SUM(E93:E95)</f>
        <v>-83916966</v>
      </c>
      <c r="F97" s="431">
        <f>SUM(F93:F95)</f>
        <v>-2777207</v>
      </c>
      <c r="G97" s="431">
        <f>SUM(G93:G95)</f>
        <v>-9847925</v>
      </c>
      <c r="H97" s="431">
        <f>SUM(H93:H95)</f>
        <v>0</v>
      </c>
      <c r="I97" s="35" t="str">
        <f>"Sum of Above Lines beginning on Line "&amp;A93&amp;""</f>
        <v>Sum of Above Lines beginning on Line 500</v>
      </c>
      <c r="N97" s="8">
        <f>A97</f>
        <v>503</v>
      </c>
    </row>
    <row r="98" spans="1:14">
      <c r="A98" s="133">
        <f>A97+1</f>
        <v>504</v>
      </c>
      <c r="B98" s="177"/>
      <c r="C98" s="177" t="s">
        <v>1131</v>
      </c>
      <c r="D98" s="301"/>
      <c r="E98" s="301"/>
      <c r="F98" s="697">
        <f>+'24-Allocators'!C37</f>
        <v>0.951104471035909</v>
      </c>
      <c r="G98" s="310">
        <f>'24-Allocators'!$C$29</f>
        <v>0.16303308552822116</v>
      </c>
      <c r="H98" s="310">
        <f>'24-Allocators'!$C$24</f>
        <v>0.10327848903946341</v>
      </c>
      <c r="I98" s="289" t="s">
        <v>1149</v>
      </c>
      <c r="N98" s="8">
        <f>A98</f>
        <v>504</v>
      </c>
    </row>
    <row r="99" spans="1:14">
      <c r="A99" s="133">
        <f>+A98+1</f>
        <v>505</v>
      </c>
      <c r="B99" s="177"/>
      <c r="C99" s="178" t="s">
        <v>1175</v>
      </c>
      <c r="D99" s="553">
        <f>SUM(F99:H99)</f>
        <v>-4246951.5934927315</v>
      </c>
      <c r="E99" s="431"/>
      <c r="F99" s="432">
        <f>F97*F98</f>
        <v>-2641413.9946922236</v>
      </c>
      <c r="G99" s="432">
        <f>+G97*G98</f>
        <v>-1605537.5988005074</v>
      </c>
      <c r="H99" s="442">
        <f>+H97*H98</f>
        <v>0</v>
      </c>
      <c r="I99" s="291" t="str">
        <f>CONCATENATE("Line ",A97," * ","Line ",A98," for Cols 4 to 6")</f>
        <v>Line 503 * Line 504 for Cols 4 to 6</v>
      </c>
      <c r="N99" s="8">
        <f>A99</f>
        <v>505</v>
      </c>
    </row>
    <row r="100" spans="1:14">
      <c r="A100" s="133"/>
      <c r="C100" s="292" t="s">
        <v>1134</v>
      </c>
      <c r="D100" s="166"/>
      <c r="E100" s="166"/>
      <c r="F100" s="166"/>
      <c r="G100" s="166"/>
      <c r="H100" s="166"/>
      <c r="I100" s="291"/>
      <c r="J100" s="20"/>
      <c r="N100" s="8"/>
    </row>
    <row r="101" spans="1:14">
      <c r="A101" s="133"/>
      <c r="C101" s="17"/>
      <c r="D101" s="166"/>
      <c r="E101" s="166"/>
      <c r="F101" s="166"/>
      <c r="G101" s="166"/>
      <c r="H101" s="166"/>
      <c r="I101" s="291"/>
      <c r="N101" s="8"/>
    </row>
    <row r="102" spans="1:14">
      <c r="A102" s="133">
        <f>A99+1</f>
        <v>506</v>
      </c>
      <c r="C102" s="177" t="s">
        <v>1176</v>
      </c>
      <c r="D102" s="640">
        <v>-96542098</v>
      </c>
      <c r="E102" s="293" t="str">
        <f>CONCATENATE("Must match amount on Line ",A97," ",D89)</f>
        <v>Must match amount on Line 503 Col 2</v>
      </c>
      <c r="F102" s="288"/>
      <c r="G102" s="288"/>
      <c r="H102" s="288"/>
      <c r="J102" s="35" t="s">
        <v>1177</v>
      </c>
      <c r="N102" s="8">
        <f>A102</f>
        <v>506</v>
      </c>
    </row>
    <row r="103" spans="1:14">
      <c r="A103" s="133"/>
      <c r="C103" s="177"/>
      <c r="D103" s="293"/>
      <c r="E103" s="293"/>
      <c r="F103" s="288"/>
      <c r="G103" s="288"/>
      <c r="H103" s="288"/>
      <c r="I103" s="35"/>
      <c r="N103" s="8"/>
    </row>
    <row r="104" spans="1:14">
      <c r="A104" s="133"/>
      <c r="B104" s="120" t="s">
        <v>1178</v>
      </c>
      <c r="C104" s="181"/>
      <c r="D104" s="303"/>
      <c r="E104" s="303"/>
      <c r="F104" s="298"/>
      <c r="G104" s="298"/>
      <c r="H104" s="298"/>
      <c r="I104" s="304"/>
      <c r="J104" s="146"/>
      <c r="K104" s="55"/>
      <c r="L104" s="55"/>
      <c r="M104" s="55"/>
      <c r="N104" s="8"/>
    </row>
    <row r="105" spans="1:14">
      <c r="A105" s="133"/>
      <c r="B105" s="17"/>
      <c r="C105" s="124" t="s">
        <v>371</v>
      </c>
      <c r="D105" s="124" t="s">
        <v>372</v>
      </c>
      <c r="E105" s="124" t="s">
        <v>373</v>
      </c>
      <c r="F105" s="124" t="s">
        <v>374</v>
      </c>
      <c r="G105" s="124" t="s">
        <v>375</v>
      </c>
      <c r="H105" s="124" t="s">
        <v>376</v>
      </c>
      <c r="I105" s="124" t="s">
        <v>377</v>
      </c>
      <c r="J105" s="124" t="s">
        <v>378</v>
      </c>
      <c r="N105" s="8"/>
    </row>
    <row r="106" spans="1:14">
      <c r="A106" s="133"/>
      <c r="B106" s="17"/>
      <c r="C106" s="177"/>
      <c r="D106" s="305" t="s">
        <v>1179</v>
      </c>
      <c r="E106" s="305" t="s">
        <v>1180</v>
      </c>
      <c r="F106" s="288"/>
      <c r="G106" s="288"/>
      <c r="H106" s="305" t="s">
        <v>1181</v>
      </c>
      <c r="I106" s="306" t="s">
        <v>1182</v>
      </c>
      <c r="J106" s="305" t="s">
        <v>1183</v>
      </c>
      <c r="N106" s="8"/>
    </row>
    <row r="107" spans="1:14">
      <c r="A107" s="133"/>
      <c r="B107" s="17"/>
      <c r="C107" s="177"/>
      <c r="D107" s="293"/>
      <c r="E107" s="293"/>
      <c r="F107" s="288"/>
      <c r="G107" s="288"/>
      <c r="H107" s="288"/>
      <c r="I107" s="18"/>
      <c r="J107" s="17"/>
      <c r="N107" s="8"/>
    </row>
    <row r="108" spans="1:14">
      <c r="A108" s="133"/>
      <c r="B108" s="17"/>
      <c r="C108" s="184"/>
      <c r="D108" s="305" t="s">
        <v>1184</v>
      </c>
      <c r="E108" s="305" t="s">
        <v>1185</v>
      </c>
      <c r="F108" s="305"/>
      <c r="G108" s="305" t="s">
        <v>1186</v>
      </c>
      <c r="H108" s="305" t="s">
        <v>1187</v>
      </c>
      <c r="I108" s="133" t="s">
        <v>1188</v>
      </c>
      <c r="J108" s="133" t="s">
        <v>1189</v>
      </c>
      <c r="N108" s="8"/>
    </row>
    <row r="109" spans="1:14">
      <c r="A109" s="121" t="s">
        <v>100</v>
      </c>
      <c r="B109" s="121" t="s">
        <v>420</v>
      </c>
      <c r="C109" s="184" t="s">
        <v>1190</v>
      </c>
      <c r="D109" s="307" t="s">
        <v>1191</v>
      </c>
      <c r="E109" s="307" t="s">
        <v>1192</v>
      </c>
      <c r="F109" s="307" t="s">
        <v>1193</v>
      </c>
      <c r="G109" s="307" t="s">
        <v>1194</v>
      </c>
      <c r="H109" s="307" t="s">
        <v>1195</v>
      </c>
      <c r="I109" s="121" t="s">
        <v>1196</v>
      </c>
      <c r="J109" s="121" t="s">
        <v>1197</v>
      </c>
      <c r="N109" s="121" t="str">
        <f t="shared" ref="N109:N124" si="8">A109</f>
        <v>Line</v>
      </c>
    </row>
    <row r="110" spans="1:14">
      <c r="A110" s="133">
        <v>600</v>
      </c>
      <c r="B110" s="17"/>
      <c r="C110" s="308" t="s">
        <v>1198</v>
      </c>
      <c r="D110" s="436"/>
      <c r="E110" s="211">
        <f>D17</f>
        <v>-1470878157.7303393</v>
      </c>
      <c r="F110" s="288"/>
      <c r="G110" s="45">
        <f>+G111+F111-G122</f>
        <v>365</v>
      </c>
      <c r="H110" s="310">
        <f>1</f>
        <v>1</v>
      </c>
      <c r="I110" s="311"/>
      <c r="J110" s="438">
        <f>+E110</f>
        <v>-1470878157.7303393</v>
      </c>
      <c r="N110" s="8">
        <f t="shared" si="8"/>
        <v>600</v>
      </c>
    </row>
    <row r="111" spans="1:14">
      <c r="A111" s="133">
        <f t="shared" ref="A111:A124" si="9">A110+1</f>
        <v>601</v>
      </c>
      <c r="B111" s="27">
        <f>'1-BaseTRR'!$G$2</f>
        <v>2021</v>
      </c>
      <c r="C111" s="308" t="s">
        <v>430</v>
      </c>
      <c r="D111" s="211">
        <f t="shared" ref="D111:D122" si="10">($D$13-$D$17)/12</f>
        <v>-3154231.8600315056</v>
      </c>
      <c r="E111" s="211">
        <f t="shared" ref="E111:E122" si="11">E110+D111</f>
        <v>-1474032389.5903709</v>
      </c>
      <c r="F111" s="45">
        <v>31</v>
      </c>
      <c r="G111" s="45">
        <f t="shared" ref="G111:G120" si="12">+G112+F112</f>
        <v>335</v>
      </c>
      <c r="H111" s="310">
        <f>G111/G110</f>
        <v>0.9178082191780822</v>
      </c>
      <c r="I111" s="437">
        <f t="shared" ref="I111:I122" si="13">D111*H111</f>
        <v>-2894979.9263302861</v>
      </c>
      <c r="J111" s="243">
        <f t="shared" ref="J111:J122" si="14">J110+I111</f>
        <v>-1473773137.6566696</v>
      </c>
      <c r="N111" s="8">
        <f t="shared" si="8"/>
        <v>601</v>
      </c>
    </row>
    <row r="112" spans="1:14">
      <c r="A112" s="133">
        <f t="shared" si="9"/>
        <v>602</v>
      </c>
      <c r="B112" s="27">
        <f>'1-BaseTRR'!$G$2</f>
        <v>2021</v>
      </c>
      <c r="C112" s="308" t="s">
        <v>431</v>
      </c>
      <c r="D112" s="211">
        <f t="shared" si="10"/>
        <v>-3154231.8600315056</v>
      </c>
      <c r="E112" s="211">
        <f t="shared" si="11"/>
        <v>-1477186621.4504025</v>
      </c>
      <c r="F112" s="313">
        <v>28</v>
      </c>
      <c r="G112" s="45">
        <f t="shared" si="12"/>
        <v>307</v>
      </c>
      <c r="H112" s="310">
        <f>G112/G110</f>
        <v>0.84109589041095889</v>
      </c>
      <c r="I112" s="437">
        <f t="shared" si="13"/>
        <v>-2653011.4548758143</v>
      </c>
      <c r="J112" s="243">
        <f t="shared" si="14"/>
        <v>-1476426149.1115453</v>
      </c>
      <c r="N112" s="8">
        <f t="shared" si="8"/>
        <v>602</v>
      </c>
    </row>
    <row r="113" spans="1:14">
      <c r="A113" s="133">
        <f t="shared" si="9"/>
        <v>603</v>
      </c>
      <c r="B113" s="27">
        <f>'1-BaseTRR'!$G$2</f>
        <v>2021</v>
      </c>
      <c r="C113" s="308" t="s">
        <v>432</v>
      </c>
      <c r="D113" s="211">
        <f t="shared" si="10"/>
        <v>-3154231.8600315056</v>
      </c>
      <c r="E113" s="211">
        <f t="shared" si="11"/>
        <v>-1480340853.3104341</v>
      </c>
      <c r="F113" s="45">
        <v>31</v>
      </c>
      <c r="G113" s="45">
        <f t="shared" si="12"/>
        <v>276</v>
      </c>
      <c r="H113" s="310">
        <f>G113/G110</f>
        <v>0.75616438356164384</v>
      </c>
      <c r="I113" s="437">
        <f t="shared" si="13"/>
        <v>-2385117.7900512205</v>
      </c>
      <c r="J113" s="243">
        <f t="shared" si="14"/>
        <v>-1478811266.9015965</v>
      </c>
      <c r="N113" s="8">
        <f t="shared" si="8"/>
        <v>603</v>
      </c>
    </row>
    <row r="114" spans="1:14">
      <c r="A114" s="133">
        <f t="shared" si="9"/>
        <v>604</v>
      </c>
      <c r="B114" s="27">
        <f>'1-BaseTRR'!$G$2</f>
        <v>2021</v>
      </c>
      <c r="C114" s="308" t="s">
        <v>433</v>
      </c>
      <c r="D114" s="211">
        <f t="shared" si="10"/>
        <v>-3154231.8600315056</v>
      </c>
      <c r="E114" s="211">
        <f t="shared" si="11"/>
        <v>-1483495085.1704657</v>
      </c>
      <c r="F114" s="45">
        <v>30</v>
      </c>
      <c r="G114" s="45">
        <f t="shared" si="12"/>
        <v>246</v>
      </c>
      <c r="H114" s="310">
        <f>G114/G110</f>
        <v>0.67397260273972603</v>
      </c>
      <c r="I114" s="437">
        <f t="shared" si="13"/>
        <v>-2125865.8563500009</v>
      </c>
      <c r="J114" s="243">
        <f t="shared" si="14"/>
        <v>-1480937132.7579465</v>
      </c>
      <c r="N114" s="8">
        <f t="shared" si="8"/>
        <v>604</v>
      </c>
    </row>
    <row r="115" spans="1:14">
      <c r="A115" s="133">
        <f t="shared" si="9"/>
        <v>605</v>
      </c>
      <c r="B115" s="27">
        <f>'1-BaseTRR'!$G$2</f>
        <v>2021</v>
      </c>
      <c r="C115" s="308" t="s">
        <v>395</v>
      </c>
      <c r="D115" s="211">
        <f t="shared" si="10"/>
        <v>-3154231.8600315056</v>
      </c>
      <c r="E115" s="211">
        <f t="shared" si="11"/>
        <v>-1486649317.0304973</v>
      </c>
      <c r="F115" s="45">
        <v>31</v>
      </c>
      <c r="G115" s="45">
        <f t="shared" si="12"/>
        <v>215</v>
      </c>
      <c r="H115" s="310">
        <f>G115/G110</f>
        <v>0.58904109589041098</v>
      </c>
      <c r="I115" s="437">
        <f t="shared" si="13"/>
        <v>-1857972.1915254074</v>
      </c>
      <c r="J115" s="243">
        <f t="shared" si="14"/>
        <v>-1482795104.949472</v>
      </c>
      <c r="N115" s="8">
        <f t="shared" si="8"/>
        <v>605</v>
      </c>
    </row>
    <row r="116" spans="1:14">
      <c r="A116" s="133">
        <f t="shared" si="9"/>
        <v>606</v>
      </c>
      <c r="B116" s="27">
        <f>'1-BaseTRR'!$G$2</f>
        <v>2021</v>
      </c>
      <c r="C116" s="308" t="s">
        <v>531</v>
      </c>
      <c r="D116" s="211">
        <f t="shared" si="10"/>
        <v>-3154231.8600315056</v>
      </c>
      <c r="E116" s="211">
        <f t="shared" si="11"/>
        <v>-1489803548.8905289</v>
      </c>
      <c r="F116" s="45">
        <v>30</v>
      </c>
      <c r="G116" s="45">
        <f t="shared" si="12"/>
        <v>185</v>
      </c>
      <c r="H116" s="310">
        <f>G116/G110</f>
        <v>0.50684931506849318</v>
      </c>
      <c r="I116" s="437">
        <f t="shared" si="13"/>
        <v>-1598720.2578241879</v>
      </c>
      <c r="J116" s="243">
        <f t="shared" si="14"/>
        <v>-1484393825.2072961</v>
      </c>
      <c r="N116" s="8">
        <f t="shared" si="8"/>
        <v>606</v>
      </c>
    </row>
    <row r="117" spans="1:14">
      <c r="A117" s="133">
        <f t="shared" si="9"/>
        <v>607</v>
      </c>
      <c r="B117" s="27">
        <f>'1-BaseTRR'!$G$2</f>
        <v>2021</v>
      </c>
      <c r="C117" s="308" t="s">
        <v>435</v>
      </c>
      <c r="D117" s="211">
        <f t="shared" si="10"/>
        <v>-3154231.8600315056</v>
      </c>
      <c r="E117" s="211">
        <f t="shared" si="11"/>
        <v>-1492957780.7505605</v>
      </c>
      <c r="F117" s="45">
        <v>31</v>
      </c>
      <c r="G117" s="45">
        <f t="shared" si="12"/>
        <v>154</v>
      </c>
      <c r="H117" s="310">
        <f>G117/G110</f>
        <v>0.42191780821917807</v>
      </c>
      <c r="I117" s="437">
        <f t="shared" si="13"/>
        <v>-1330826.5929995941</v>
      </c>
      <c r="J117" s="243">
        <f t="shared" si="14"/>
        <v>-1485724651.8002958</v>
      </c>
      <c r="N117" s="8">
        <f t="shared" si="8"/>
        <v>607</v>
      </c>
    </row>
    <row r="118" spans="1:14">
      <c r="A118" s="133">
        <f t="shared" si="9"/>
        <v>608</v>
      </c>
      <c r="B118" s="27">
        <f>'1-BaseTRR'!$G$2</f>
        <v>2021</v>
      </c>
      <c r="C118" s="308" t="s">
        <v>436</v>
      </c>
      <c r="D118" s="211">
        <f t="shared" si="10"/>
        <v>-3154231.8600315056</v>
      </c>
      <c r="E118" s="211">
        <f t="shared" si="11"/>
        <v>-1496112012.6105921</v>
      </c>
      <c r="F118" s="45">
        <v>31</v>
      </c>
      <c r="G118" s="45">
        <f t="shared" si="12"/>
        <v>123</v>
      </c>
      <c r="H118" s="310">
        <f>G118/G110</f>
        <v>0.33698630136986302</v>
      </c>
      <c r="I118" s="437">
        <f t="shared" si="13"/>
        <v>-1062932.9281750005</v>
      </c>
      <c r="J118" s="243">
        <f t="shared" si="14"/>
        <v>-1486787584.7284708</v>
      </c>
      <c r="N118" s="8">
        <f t="shared" si="8"/>
        <v>608</v>
      </c>
    </row>
    <row r="119" spans="1:14">
      <c r="A119" s="133">
        <f t="shared" si="9"/>
        <v>609</v>
      </c>
      <c r="B119" s="27">
        <f>'1-BaseTRR'!$G$2</f>
        <v>2021</v>
      </c>
      <c r="C119" s="308" t="s">
        <v>437</v>
      </c>
      <c r="D119" s="211">
        <f t="shared" si="10"/>
        <v>-3154231.8600315056</v>
      </c>
      <c r="E119" s="211">
        <f t="shared" si="11"/>
        <v>-1499266244.4706237</v>
      </c>
      <c r="F119" s="45">
        <v>30</v>
      </c>
      <c r="G119" s="45">
        <f t="shared" si="12"/>
        <v>93</v>
      </c>
      <c r="H119" s="310">
        <f>G119/G110</f>
        <v>0.25479452054794521</v>
      </c>
      <c r="I119" s="437">
        <f t="shared" si="13"/>
        <v>-803680.99447378085</v>
      </c>
      <c r="J119" s="243">
        <f t="shared" si="14"/>
        <v>-1487591265.7229445</v>
      </c>
      <c r="N119" s="8">
        <f t="shared" si="8"/>
        <v>609</v>
      </c>
    </row>
    <row r="120" spans="1:14">
      <c r="A120" s="133">
        <f t="shared" si="9"/>
        <v>610</v>
      </c>
      <c r="B120" s="27">
        <f>'1-BaseTRR'!$G$2</f>
        <v>2021</v>
      </c>
      <c r="C120" s="308" t="s">
        <v>438</v>
      </c>
      <c r="D120" s="211">
        <f t="shared" si="10"/>
        <v>-3154231.8600315056</v>
      </c>
      <c r="E120" s="211">
        <f t="shared" si="11"/>
        <v>-1502420476.3306553</v>
      </c>
      <c r="F120" s="45">
        <v>31</v>
      </c>
      <c r="G120" s="45">
        <f t="shared" si="12"/>
        <v>62</v>
      </c>
      <c r="H120" s="310">
        <f>G120/G110</f>
        <v>0.16986301369863013</v>
      </c>
      <c r="I120" s="437">
        <f t="shared" si="13"/>
        <v>-535787.32964918728</v>
      </c>
      <c r="J120" s="243">
        <f t="shared" si="14"/>
        <v>-1488127053.0525937</v>
      </c>
      <c r="N120" s="8">
        <f t="shared" si="8"/>
        <v>610</v>
      </c>
    </row>
    <row r="121" spans="1:14">
      <c r="A121" s="133">
        <f t="shared" si="9"/>
        <v>611</v>
      </c>
      <c r="B121" s="27">
        <f>'1-BaseTRR'!$G$2</f>
        <v>2021</v>
      </c>
      <c r="C121" s="308" t="s">
        <v>439</v>
      </c>
      <c r="D121" s="211">
        <f t="shared" si="10"/>
        <v>-3154231.8600315056</v>
      </c>
      <c r="E121" s="211">
        <f t="shared" si="11"/>
        <v>-1505574708.1906869</v>
      </c>
      <c r="F121" s="45">
        <v>30</v>
      </c>
      <c r="G121" s="45">
        <f>+G122+F122</f>
        <v>32</v>
      </c>
      <c r="H121" s="310">
        <f>G121/G110</f>
        <v>8.7671232876712329E-2</v>
      </c>
      <c r="I121" s="437">
        <f t="shared" si="13"/>
        <v>-276535.3959479676</v>
      </c>
      <c r="J121" s="243">
        <f t="shared" si="14"/>
        <v>-1488403588.4485416</v>
      </c>
      <c r="N121" s="8">
        <f t="shared" si="8"/>
        <v>611</v>
      </c>
    </row>
    <row r="122" spans="1:14">
      <c r="A122" s="133">
        <f t="shared" si="9"/>
        <v>612</v>
      </c>
      <c r="B122" s="27">
        <f>'1-BaseTRR'!$G$2</f>
        <v>2021</v>
      </c>
      <c r="C122" s="308" t="s">
        <v>428</v>
      </c>
      <c r="D122" s="211">
        <f t="shared" si="10"/>
        <v>-3154231.8600315056</v>
      </c>
      <c r="E122" s="211">
        <f t="shared" si="11"/>
        <v>-1508728940.0507185</v>
      </c>
      <c r="F122" s="45">
        <v>31</v>
      </c>
      <c r="G122" s="313">
        <v>1</v>
      </c>
      <c r="H122" s="310">
        <f>G122/G110</f>
        <v>2.7397260273972603E-3</v>
      </c>
      <c r="I122" s="437">
        <f t="shared" si="13"/>
        <v>-8641.7311233739874</v>
      </c>
      <c r="J122" s="439">
        <f t="shared" si="14"/>
        <v>-1488412230.1796651</v>
      </c>
      <c r="N122" s="8">
        <f t="shared" si="8"/>
        <v>612</v>
      </c>
    </row>
    <row r="123" spans="1:14">
      <c r="A123" s="133">
        <f t="shared" si="9"/>
        <v>613</v>
      </c>
      <c r="B123" s="17"/>
      <c r="C123" s="308" t="s">
        <v>446</v>
      </c>
      <c r="D123" s="211"/>
      <c r="E123" s="211">
        <f>D13</f>
        <v>-1508728940.0507174</v>
      </c>
      <c r="F123" s="288"/>
      <c r="G123" s="288"/>
      <c r="H123" s="288"/>
      <c r="I123" s="18"/>
      <c r="J123" s="440"/>
      <c r="N123" s="8">
        <f t="shared" si="8"/>
        <v>613</v>
      </c>
    </row>
    <row r="124" spans="1:14">
      <c r="A124" s="133">
        <f t="shared" si="9"/>
        <v>614</v>
      </c>
      <c r="B124" s="17"/>
      <c r="C124" s="177"/>
      <c r="D124" s="293"/>
      <c r="E124" s="293"/>
      <c r="F124" s="288"/>
      <c r="G124" s="288"/>
      <c r="H124" s="288"/>
      <c r="I124" s="314" t="s">
        <v>1199</v>
      </c>
      <c r="J124" s="554">
        <f>+J122</f>
        <v>-1488412230.1796651</v>
      </c>
      <c r="N124" s="8">
        <f t="shared" si="8"/>
        <v>614</v>
      </c>
    </row>
    <row r="125" spans="1:14">
      <c r="A125" s="30"/>
      <c r="C125" s="17"/>
      <c r="K125" s="8"/>
    </row>
    <row r="126" spans="1:14">
      <c r="A126" s="30"/>
      <c r="B126" s="120" t="s">
        <v>1200</v>
      </c>
      <c r="C126" s="146"/>
      <c r="D126" s="55"/>
      <c r="E126" s="55"/>
      <c r="F126" s="55"/>
      <c r="G126" s="55"/>
      <c r="H126" s="55"/>
      <c r="I126" s="55"/>
      <c r="J126" s="55"/>
      <c r="K126" s="55"/>
      <c r="L126" s="55"/>
      <c r="M126" s="55"/>
      <c r="N126" s="8"/>
    </row>
    <row r="127" spans="1:14">
      <c r="A127" s="30"/>
      <c r="C127" s="16" t="s">
        <v>1201</v>
      </c>
      <c r="E127" s="12"/>
      <c r="F127" s="4" t="s">
        <v>1202</v>
      </c>
      <c r="G127" s="4" t="s">
        <v>1203</v>
      </c>
      <c r="H127" s="12"/>
      <c r="N127" s="8"/>
    </row>
    <row r="128" spans="1:14">
      <c r="A128" s="30"/>
      <c r="D128" s="183" t="s">
        <v>788</v>
      </c>
      <c r="E128" s="12"/>
      <c r="F128" s="520">
        <f>+C168</f>
        <v>0.05</v>
      </c>
      <c r="G128" s="520">
        <f>+C169</f>
        <v>9.5000000000000001E-2</v>
      </c>
      <c r="H128" s="520">
        <f>+'1-BaseTRR'!E117</f>
        <v>0.27983599999999997</v>
      </c>
      <c r="I128" s="8" t="s">
        <v>1204</v>
      </c>
      <c r="K128" s="364" t="s">
        <v>1187</v>
      </c>
      <c r="L128" s="8" t="s">
        <v>416</v>
      </c>
      <c r="M128" s="8" t="s">
        <v>419</v>
      </c>
      <c r="N128" s="30"/>
    </row>
    <row r="129" spans="1:14">
      <c r="A129" s="30"/>
      <c r="D129" s="184" t="s">
        <v>793</v>
      </c>
      <c r="E129" s="13" t="s">
        <v>1205</v>
      </c>
      <c r="F129" s="13" t="s">
        <v>1206</v>
      </c>
      <c r="G129" s="13" t="s">
        <v>1206</v>
      </c>
      <c r="H129" s="13" t="s">
        <v>1207</v>
      </c>
      <c r="I129" s="169" t="s">
        <v>1208</v>
      </c>
      <c r="J129" s="13" t="s">
        <v>1209</v>
      </c>
      <c r="K129" s="521" t="s">
        <v>1195</v>
      </c>
      <c r="L129" s="184" t="s">
        <v>774</v>
      </c>
      <c r="M129" s="13" t="s">
        <v>774</v>
      </c>
      <c r="N129" s="30"/>
    </row>
    <row r="130" spans="1:14">
      <c r="A130" s="30"/>
      <c r="C130" s="124" t="s">
        <v>371</v>
      </c>
      <c r="D130" s="124" t="s">
        <v>372</v>
      </c>
      <c r="E130" s="124" t="s">
        <v>373</v>
      </c>
      <c r="F130" s="124" t="s">
        <v>374</v>
      </c>
      <c r="G130" s="124" t="s">
        <v>375</v>
      </c>
      <c r="H130" s="124" t="s">
        <v>376</v>
      </c>
      <c r="I130" s="124" t="s">
        <v>377</v>
      </c>
      <c r="J130" s="124" t="s">
        <v>378</v>
      </c>
      <c r="K130" s="124" t="s">
        <v>409</v>
      </c>
      <c r="L130" s="124" t="s">
        <v>525</v>
      </c>
      <c r="M130" s="124" t="s">
        <v>526</v>
      </c>
      <c r="N130" s="30"/>
    </row>
    <row r="131" spans="1:14" ht="29">
      <c r="A131" s="121" t="s">
        <v>100</v>
      </c>
      <c r="B131" s="121" t="s">
        <v>420</v>
      </c>
      <c r="C131" s="11" t="s">
        <v>798</v>
      </c>
      <c r="D131" s="579" t="s">
        <v>1210</v>
      </c>
      <c r="E131" s="579" t="s">
        <v>1211</v>
      </c>
      <c r="F131" s="579" t="s">
        <v>1212</v>
      </c>
      <c r="G131" s="64"/>
      <c r="H131" s="579" t="s">
        <v>1213</v>
      </c>
      <c r="I131" s="30" t="s">
        <v>1214</v>
      </c>
      <c r="J131" s="30" t="s">
        <v>1215</v>
      </c>
      <c r="K131" s="579" t="s">
        <v>1216</v>
      </c>
      <c r="L131" s="30" t="s">
        <v>1217</v>
      </c>
      <c r="M131" s="580" t="s">
        <v>1218</v>
      </c>
      <c r="N131" s="30"/>
    </row>
    <row r="132" spans="1:14">
      <c r="A132" s="133">
        <v>700</v>
      </c>
      <c r="B132" s="27">
        <f>'1-BaseTRR'!$G$1-1</f>
        <v>2022</v>
      </c>
      <c r="C132" s="308" t="s">
        <v>430</v>
      </c>
      <c r="D132" s="185">
        <f>+'9-PlantAdditions'!D15</f>
        <v>62793263.9114419</v>
      </c>
      <c r="E132" s="39">
        <f>+D132*'12-DepRates'!$N$21/12*12</f>
        <v>1798620.567790563</v>
      </c>
      <c r="F132" s="39">
        <f>+D132*$F$128</f>
        <v>3139663.195572095</v>
      </c>
      <c r="G132" s="39"/>
      <c r="H132" s="39">
        <f>+(E132-F132)*$H$128</f>
        <v>-375272.00478787278</v>
      </c>
      <c r="I132" s="33">
        <f>-'1-BaseTRR'!$E$106/12</f>
        <v>1872292.3165075828</v>
      </c>
      <c r="J132" s="33">
        <f>+H132+I132</f>
        <v>1497020.31171971</v>
      </c>
      <c r="K132" s="360">
        <f t="shared" ref="K132:K143" si="15">+H111</f>
        <v>0.9178082191780822</v>
      </c>
      <c r="L132" s="39">
        <f t="shared" ref="L132:L143" si="16">+J132*K132</f>
        <v>1373977.5463728844</v>
      </c>
      <c r="M132" s="160">
        <f>+L132</f>
        <v>1373977.5463728844</v>
      </c>
      <c r="N132" s="8">
        <f t="shared" ref="N132:N144" si="17">+A132</f>
        <v>700</v>
      </c>
    </row>
    <row r="133" spans="1:14">
      <c r="A133" s="133">
        <f t="shared" ref="A133:A161" si="18">A132+1</f>
        <v>701</v>
      </c>
      <c r="B133" s="27">
        <f>+B132</f>
        <v>2022</v>
      </c>
      <c r="C133" s="308" t="s">
        <v>431</v>
      </c>
      <c r="D133" s="185">
        <f>+'9-PlantAdditions'!D16</f>
        <v>105827219.84780945</v>
      </c>
      <c r="E133" s="39">
        <f>+D133*'12-DepRates'!$N$21/12*11</f>
        <v>2778659.4536993587</v>
      </c>
      <c r="F133" s="39">
        <f t="shared" ref="F133:F143" si="19">+D133*$F$128</f>
        <v>5291360.9923904724</v>
      </c>
      <c r="G133" s="39"/>
      <c r="H133" s="39">
        <f t="shared" ref="H133:H143" si="20">+(E133-F133)*$H$128</f>
        <v>-703144.34778116643</v>
      </c>
      <c r="I133" s="33">
        <f>-'1-BaseTRR'!$E$106/12</f>
        <v>1872292.3165075828</v>
      </c>
      <c r="J133" s="33">
        <f t="shared" ref="J133:J143" si="21">+H133+I133</f>
        <v>1169147.9687264164</v>
      </c>
      <c r="K133" s="360">
        <f t="shared" si="15"/>
        <v>0.84109589041095889</v>
      </c>
      <c r="L133" s="39">
        <f t="shared" si="16"/>
        <v>983365.55177810905</v>
      </c>
      <c r="M133" s="160">
        <f t="shared" ref="M133:M143" si="22">+L133+M132</f>
        <v>2357343.0981509937</v>
      </c>
      <c r="N133" s="8">
        <f t="shared" si="17"/>
        <v>701</v>
      </c>
    </row>
    <row r="134" spans="1:14">
      <c r="A134" s="133">
        <f t="shared" si="18"/>
        <v>702</v>
      </c>
      <c r="B134" s="27">
        <f t="shared" ref="B134:B143" si="23">+B133</f>
        <v>2022</v>
      </c>
      <c r="C134" s="308" t="s">
        <v>432</v>
      </c>
      <c r="D134" s="185">
        <f>+'9-PlantAdditions'!D17</f>
        <v>109525758.5872464</v>
      </c>
      <c r="E134" s="39">
        <f>+D134*'12-DepRates'!$N$21/12*10</f>
        <v>2614336.7115474637</v>
      </c>
      <c r="F134" s="39">
        <f t="shared" si="19"/>
        <v>5476287.9293623203</v>
      </c>
      <c r="G134" s="39"/>
      <c r="H134" s="39">
        <f t="shared" si="20"/>
        <v>-800876.98098843812</v>
      </c>
      <c r="I134" s="33">
        <f>-'1-BaseTRR'!$E$106/12</f>
        <v>1872292.3165075828</v>
      </c>
      <c r="J134" s="33">
        <f t="shared" si="21"/>
        <v>1071415.3355191448</v>
      </c>
      <c r="K134" s="360">
        <f t="shared" si="15"/>
        <v>0.75616438356164384</v>
      </c>
      <c r="L134" s="39">
        <f t="shared" si="16"/>
        <v>810166.1167213259</v>
      </c>
      <c r="M134" s="160">
        <f t="shared" si="22"/>
        <v>3167509.2148723197</v>
      </c>
      <c r="N134" s="8">
        <f t="shared" si="17"/>
        <v>702</v>
      </c>
    </row>
    <row r="135" spans="1:14">
      <c r="A135" s="133">
        <f t="shared" si="18"/>
        <v>703</v>
      </c>
      <c r="B135" s="27">
        <f t="shared" si="23"/>
        <v>2022</v>
      </c>
      <c r="C135" s="308" t="s">
        <v>433</v>
      </c>
      <c r="D135" s="185">
        <f>+'9-PlantAdditions'!D18</f>
        <v>94315346.158920437</v>
      </c>
      <c r="E135" s="39">
        <f>+D135*'12-DepRates'!$N$21/12*9</f>
        <v>2026143.1429049796</v>
      </c>
      <c r="F135" s="39">
        <f t="shared" si="19"/>
        <v>4715767.3079460217</v>
      </c>
      <c r="G135" s="39"/>
      <c r="H135" s="39">
        <f t="shared" si="20"/>
        <v>-752653.66784842499</v>
      </c>
      <c r="I135" s="33">
        <f>-'1-BaseTRR'!$E$106/12</f>
        <v>1872292.3165075828</v>
      </c>
      <c r="J135" s="33">
        <f t="shared" si="21"/>
        <v>1119638.6486591578</v>
      </c>
      <c r="K135" s="360">
        <f t="shared" si="15"/>
        <v>0.67397260273972603</v>
      </c>
      <c r="L135" s="39">
        <f t="shared" si="16"/>
        <v>754605.77416480228</v>
      </c>
      <c r="M135" s="160">
        <f t="shared" si="22"/>
        <v>3922114.9890371221</v>
      </c>
      <c r="N135" s="8">
        <f t="shared" si="17"/>
        <v>703</v>
      </c>
    </row>
    <row r="136" spans="1:14">
      <c r="A136" s="133">
        <f t="shared" si="18"/>
        <v>704</v>
      </c>
      <c r="B136" s="27">
        <f t="shared" si="23"/>
        <v>2022</v>
      </c>
      <c r="C136" s="308" t="s">
        <v>395</v>
      </c>
      <c r="D136" s="185">
        <f>+'9-PlantAdditions'!D19</f>
        <v>84710442.535163522</v>
      </c>
      <c r="E136" s="39">
        <f>+D136*'12-DepRates'!$N$21/12*8</f>
        <v>1617603.914386566</v>
      </c>
      <c r="F136" s="39">
        <f t="shared" si="19"/>
        <v>4235522.1267581759</v>
      </c>
      <c r="G136" s="39"/>
      <c r="H136" s="39">
        <f t="shared" si="20"/>
        <v>-732587.76087722182</v>
      </c>
      <c r="I136" s="33">
        <f>-'1-BaseTRR'!$E$106/12</f>
        <v>1872292.3165075828</v>
      </c>
      <c r="J136" s="33">
        <f t="shared" si="21"/>
        <v>1139704.555630361</v>
      </c>
      <c r="K136" s="360">
        <f t="shared" si="15"/>
        <v>0.58904109589041098</v>
      </c>
      <c r="L136" s="39">
        <f t="shared" si="16"/>
        <v>671332.82043980167</v>
      </c>
      <c r="M136" s="160">
        <f t="shared" si="22"/>
        <v>4593447.8094769241</v>
      </c>
      <c r="N136" s="8">
        <f t="shared" si="17"/>
        <v>704</v>
      </c>
    </row>
    <row r="137" spans="1:14">
      <c r="A137" s="133">
        <f t="shared" si="18"/>
        <v>705</v>
      </c>
      <c r="B137" s="27">
        <f t="shared" si="23"/>
        <v>2022</v>
      </c>
      <c r="C137" s="308" t="s">
        <v>531</v>
      </c>
      <c r="D137" s="185">
        <f>+'9-PlantAdditions'!D20</f>
        <v>76446578.370898247</v>
      </c>
      <c r="E137" s="39">
        <f>+D137*'12-DepRates'!$N$21/12*7</f>
        <v>1277324.7975600071</v>
      </c>
      <c r="F137" s="39">
        <f t="shared" si="19"/>
        <v>3822328.9185449127</v>
      </c>
      <c r="G137" s="39"/>
      <c r="H137" s="39">
        <f t="shared" si="20"/>
        <v>-712183.77319993195</v>
      </c>
      <c r="I137" s="33">
        <f>-'1-BaseTRR'!$E$106/12</f>
        <v>1872292.3165075828</v>
      </c>
      <c r="J137" s="33">
        <f t="shared" si="21"/>
        <v>1160108.5433076508</v>
      </c>
      <c r="K137" s="360">
        <f t="shared" si="15"/>
        <v>0.50684931506849318</v>
      </c>
      <c r="L137" s="39">
        <f t="shared" si="16"/>
        <v>588000.22058059019</v>
      </c>
      <c r="M137" s="160">
        <f t="shared" si="22"/>
        <v>5181448.0300575141</v>
      </c>
      <c r="N137" s="8">
        <f t="shared" si="17"/>
        <v>705</v>
      </c>
    </row>
    <row r="138" spans="1:14">
      <c r="A138" s="133">
        <f t="shared" si="18"/>
        <v>706</v>
      </c>
      <c r="B138" s="27">
        <f t="shared" si="23"/>
        <v>2022</v>
      </c>
      <c r="C138" s="308" t="s">
        <v>435</v>
      </c>
      <c r="D138" s="185">
        <f>+'9-PlantAdditions'!D21</f>
        <v>65168045.317073867</v>
      </c>
      <c r="E138" s="39">
        <f>+D138*'12-DepRates'!$N$21/12*6</f>
        <v>933321.34188233048</v>
      </c>
      <c r="F138" s="39">
        <f t="shared" si="19"/>
        <v>3258402.2658536937</v>
      </c>
      <c r="G138" s="39"/>
      <c r="H138" s="39">
        <f t="shared" si="20"/>
        <v>-650641.34544045036</v>
      </c>
      <c r="I138" s="33">
        <f>-'1-BaseTRR'!$E$106/12</f>
        <v>1872292.3165075828</v>
      </c>
      <c r="J138" s="33">
        <f t="shared" si="21"/>
        <v>1221650.9710671324</v>
      </c>
      <c r="K138" s="360">
        <f t="shared" si="15"/>
        <v>0.42191780821917807</v>
      </c>
      <c r="L138" s="39">
        <f t="shared" si="16"/>
        <v>515436.30012147501</v>
      </c>
      <c r="M138" s="160">
        <f t="shared" si="22"/>
        <v>5696884.3301789891</v>
      </c>
      <c r="N138" s="8">
        <f t="shared" si="17"/>
        <v>706</v>
      </c>
    </row>
    <row r="139" spans="1:14">
      <c r="A139" s="133">
        <f t="shared" si="18"/>
        <v>707</v>
      </c>
      <c r="B139" s="27">
        <f t="shared" si="23"/>
        <v>2022</v>
      </c>
      <c r="C139" s="308" t="s">
        <v>436</v>
      </c>
      <c r="D139" s="185">
        <f>+'9-PlantAdditions'!D22</f>
        <v>107195667.74996752</v>
      </c>
      <c r="E139" s="39">
        <f>+D139*'12-DepRates'!$N$21/12*5</f>
        <v>1279359.1805819159</v>
      </c>
      <c r="F139" s="39">
        <f t="shared" si="19"/>
        <v>5359783.387498376</v>
      </c>
      <c r="G139" s="39"/>
      <c r="H139" s="39">
        <f t="shared" si="20"/>
        <v>-1141849.5883666743</v>
      </c>
      <c r="I139" s="33">
        <f>-'1-BaseTRR'!$E$106/12</f>
        <v>1872292.3165075828</v>
      </c>
      <c r="J139" s="33">
        <f t="shared" si="21"/>
        <v>730442.72814090853</v>
      </c>
      <c r="K139" s="360">
        <f t="shared" si="15"/>
        <v>0.33698630136986302</v>
      </c>
      <c r="L139" s="39">
        <f t="shared" si="16"/>
        <v>246149.19331871712</v>
      </c>
      <c r="M139" s="160">
        <f t="shared" si="22"/>
        <v>5943033.5234977063</v>
      </c>
      <c r="N139" s="8">
        <f t="shared" si="17"/>
        <v>707</v>
      </c>
    </row>
    <row r="140" spans="1:14">
      <c r="A140" s="133">
        <f t="shared" si="18"/>
        <v>708</v>
      </c>
      <c r="B140" s="27">
        <f t="shared" si="23"/>
        <v>2022</v>
      </c>
      <c r="C140" s="308" t="s">
        <v>437</v>
      </c>
      <c r="D140" s="185">
        <f>+'9-PlantAdditions'!D23</f>
        <v>94143048.919391602</v>
      </c>
      <c r="E140" s="39">
        <f>+D140*'12-DepRates'!$N$21/12*4</f>
        <v>898862.99661980558</v>
      </c>
      <c r="F140" s="39">
        <f t="shared" si="19"/>
        <v>4707152.4459695807</v>
      </c>
      <c r="G140" s="39"/>
      <c r="H140" s="39">
        <f t="shared" si="20"/>
        <v>-1065696.4863482434</v>
      </c>
      <c r="I140" s="33">
        <f>-'1-BaseTRR'!$E$106/12</f>
        <v>1872292.3165075828</v>
      </c>
      <c r="J140" s="33">
        <f t="shared" si="21"/>
        <v>806595.83015933936</v>
      </c>
      <c r="K140" s="360">
        <f t="shared" si="15"/>
        <v>0.25479452054794521</v>
      </c>
      <c r="L140" s="39">
        <f t="shared" si="16"/>
        <v>205516.1978214207</v>
      </c>
      <c r="M140" s="160">
        <f t="shared" si="22"/>
        <v>6148549.7213191269</v>
      </c>
      <c r="N140" s="8">
        <f t="shared" si="17"/>
        <v>708</v>
      </c>
    </row>
    <row r="141" spans="1:14">
      <c r="A141" s="133">
        <f t="shared" si="18"/>
        <v>709</v>
      </c>
      <c r="B141" s="27">
        <f t="shared" si="23"/>
        <v>2022</v>
      </c>
      <c r="C141" s="308" t="s">
        <v>438</v>
      </c>
      <c r="D141" s="185">
        <f>+'9-PlantAdditions'!D24</f>
        <v>46934913.737764984</v>
      </c>
      <c r="E141" s="39">
        <f>+D141*'12-DepRates'!$N$21/12*3</f>
        <v>336095.37049736665</v>
      </c>
      <c r="F141" s="39">
        <f t="shared" si="19"/>
        <v>2346745.6868882491</v>
      </c>
      <c r="G141" s="39"/>
      <c r="H141" s="39">
        <f t="shared" si="20"/>
        <v>-562652.34193755896</v>
      </c>
      <c r="I141" s="33">
        <f>-'1-BaseTRR'!$E$106/12</f>
        <v>1872292.3165075828</v>
      </c>
      <c r="J141" s="33">
        <f t="shared" si="21"/>
        <v>1309639.9745700238</v>
      </c>
      <c r="K141" s="360">
        <f t="shared" si="15"/>
        <v>0.16986301369863013</v>
      </c>
      <c r="L141" s="39">
        <f t="shared" si="16"/>
        <v>222459.39294066158</v>
      </c>
      <c r="M141" s="160">
        <f t="shared" si="22"/>
        <v>6371009.1142597888</v>
      </c>
      <c r="N141" s="8">
        <f t="shared" si="17"/>
        <v>709</v>
      </c>
    </row>
    <row r="142" spans="1:14">
      <c r="A142" s="133">
        <f t="shared" si="18"/>
        <v>710</v>
      </c>
      <c r="B142" s="27">
        <f t="shared" si="23"/>
        <v>2022</v>
      </c>
      <c r="C142" s="308" t="s">
        <v>439</v>
      </c>
      <c r="D142" s="185">
        <f>+'9-PlantAdditions'!D25</f>
        <v>123905410.78088114</v>
      </c>
      <c r="E142" s="39">
        <f>+D142*'12-DepRates'!$N$21/12*2</f>
        <v>591514.66895486286</v>
      </c>
      <c r="F142" s="39">
        <f t="shared" si="19"/>
        <v>6195270.539044057</v>
      </c>
      <c r="G142" s="39"/>
      <c r="H142" s="39">
        <f t="shared" si="20"/>
        <v>-1568132.6276622794</v>
      </c>
      <c r="I142" s="33">
        <f>-'1-BaseTRR'!$E$106/12</f>
        <v>1872292.3165075828</v>
      </c>
      <c r="J142" s="33">
        <f t="shared" si="21"/>
        <v>304159.68884530338</v>
      </c>
      <c r="K142" s="360">
        <f t="shared" si="15"/>
        <v>8.7671232876712329E-2</v>
      </c>
      <c r="L142" s="39">
        <f t="shared" si="16"/>
        <v>26666.054912464955</v>
      </c>
      <c r="M142" s="160">
        <f t="shared" si="22"/>
        <v>6397675.1691722535</v>
      </c>
      <c r="N142" s="8">
        <f t="shared" si="17"/>
        <v>710</v>
      </c>
    </row>
    <row r="143" spans="1:14">
      <c r="A143" s="133">
        <f t="shared" si="18"/>
        <v>711</v>
      </c>
      <c r="B143" s="27">
        <f t="shared" si="23"/>
        <v>2022</v>
      </c>
      <c r="C143" s="308" t="s">
        <v>428</v>
      </c>
      <c r="D143" s="522">
        <f>+'9-PlantAdditions'!D26</f>
        <v>138386795.19064838</v>
      </c>
      <c r="E143" s="523">
        <f>+D143*'12-DepRates'!$N$21/12*1</f>
        <v>330323.82859244599</v>
      </c>
      <c r="F143" s="523">
        <f t="shared" si="19"/>
        <v>6919339.759532419</v>
      </c>
      <c r="G143" s="523"/>
      <c r="H143" s="523">
        <f t="shared" si="20"/>
        <v>-1843843.8620505182</v>
      </c>
      <c r="I143" s="524">
        <f>-'1-BaseTRR'!$E$106/12</f>
        <v>1872292.3165075828</v>
      </c>
      <c r="J143" s="524">
        <f t="shared" si="21"/>
        <v>28448.454457064625</v>
      </c>
      <c r="K143" s="360">
        <f t="shared" si="15"/>
        <v>2.7397260273972603E-3</v>
      </c>
      <c r="L143" s="39">
        <f t="shared" si="16"/>
        <v>77.940971115245546</v>
      </c>
      <c r="M143" s="160">
        <f t="shared" si="22"/>
        <v>6397753.1101433691</v>
      </c>
      <c r="N143" s="8">
        <f t="shared" si="17"/>
        <v>711</v>
      </c>
    </row>
    <row r="144" spans="1:14">
      <c r="A144" s="133">
        <f t="shared" si="18"/>
        <v>712</v>
      </c>
      <c r="C144" s="308" t="s">
        <v>1219</v>
      </c>
      <c r="D144" s="530">
        <f>SUM(D132:D143)</f>
        <v>1109352491.1072075</v>
      </c>
      <c r="E144" s="531">
        <f>SUM(E132:E143)</f>
        <v>16482165.975017667</v>
      </c>
      <c r="F144" s="531">
        <f>SUM(F132:F143)</f>
        <v>55467624.555360384</v>
      </c>
      <c r="G144" s="531"/>
      <c r="H144" s="531">
        <f>SUM(H132:H143)</f>
        <v>-10909534.787288779</v>
      </c>
      <c r="I144" s="354">
        <f>SUM(I132:I143)</f>
        <v>22467507.798090991</v>
      </c>
      <c r="J144" s="354">
        <f>SUM(J132:J143)</f>
        <v>11557973.010802215</v>
      </c>
      <c r="K144" s="525" t="e">
        <f>E30/E144*E151</f>
        <v>#VALUE!</v>
      </c>
      <c r="N144" s="8">
        <f t="shared" si="17"/>
        <v>712</v>
      </c>
    </row>
    <row r="145" spans="1:16">
      <c r="A145" s="133"/>
      <c r="C145" s="308"/>
      <c r="D145" s="185"/>
      <c r="E145" s="160"/>
      <c r="F145" s="160"/>
      <c r="G145" s="160"/>
      <c r="H145" s="160"/>
      <c r="J145" s="33"/>
      <c r="K145" s="525"/>
      <c r="N145" s="12"/>
    </row>
    <row r="146" spans="1:16">
      <c r="A146" s="133">
        <f>A144+1</f>
        <v>713</v>
      </c>
      <c r="C146" s="308" t="s">
        <v>448</v>
      </c>
      <c r="D146" s="185"/>
      <c r="H146" s="160">
        <f>+H144</f>
        <v>-10909534.787288779</v>
      </c>
      <c r="I146" s="12"/>
      <c r="J146" s="160">
        <f>+J144</f>
        <v>11557973.010802215</v>
      </c>
      <c r="K146" s="64">
        <f>+H110</f>
        <v>1</v>
      </c>
      <c r="L146" s="39">
        <f>+J146*K146</f>
        <v>11557973.010802215</v>
      </c>
      <c r="M146" s="160">
        <f t="shared" ref="M146" si="24">+L146+M145</f>
        <v>11557973.010802215</v>
      </c>
      <c r="N146" s="8">
        <f>+A146</f>
        <v>713</v>
      </c>
    </row>
    <row r="147" spans="1:16" ht="29">
      <c r="A147" s="133"/>
      <c r="C147" s="308"/>
      <c r="D147" s="184" t="s">
        <v>793</v>
      </c>
      <c r="E147" s="169" t="s">
        <v>1220</v>
      </c>
      <c r="F147" s="169" t="s">
        <v>1221</v>
      </c>
      <c r="G147" s="169" t="s">
        <v>1222</v>
      </c>
      <c r="H147" s="13" t="s">
        <v>1207</v>
      </c>
      <c r="I147" s="169" t="s">
        <v>1208</v>
      </c>
      <c r="J147" s="526" t="s">
        <v>1209</v>
      </c>
      <c r="K147" s="527" t="s">
        <v>1223</v>
      </c>
      <c r="L147" s="528" t="s">
        <v>1224</v>
      </c>
      <c r="M147" s="169" t="s">
        <v>1225</v>
      </c>
      <c r="N147" s="8"/>
    </row>
    <row r="148" spans="1:16" ht="102.75" customHeight="1">
      <c r="A148" s="121" t="s">
        <v>100</v>
      </c>
      <c r="B148" s="121"/>
      <c r="C148" s="11" t="s">
        <v>1226</v>
      </c>
      <c r="D148" s="579" t="s">
        <v>1227</v>
      </c>
      <c r="E148" s="579" t="s">
        <v>1228</v>
      </c>
      <c r="F148" s="579" t="s">
        <v>1212</v>
      </c>
      <c r="G148" s="579" t="s">
        <v>1229</v>
      </c>
      <c r="H148" s="579" t="s">
        <v>1230</v>
      </c>
      <c r="I148" s="30" t="s">
        <v>1214</v>
      </c>
      <c r="J148" s="30" t="s">
        <v>1215</v>
      </c>
      <c r="K148" s="579" t="s">
        <v>1216</v>
      </c>
      <c r="L148" s="30" t="s">
        <v>1217</v>
      </c>
      <c r="M148" s="580" t="s">
        <v>1218</v>
      </c>
      <c r="N148" s="12"/>
    </row>
    <row r="149" spans="1:16">
      <c r="A149" s="133">
        <f>A146+1</f>
        <v>714</v>
      </c>
      <c r="B149" s="27">
        <f>'1-BaseTRR'!$G$1</f>
        <v>2023</v>
      </c>
      <c r="C149" s="308" t="s">
        <v>430</v>
      </c>
      <c r="D149" s="185">
        <f>+'9-PlantAdditions'!D27</f>
        <v>49618270.568053111</v>
      </c>
      <c r="E149" s="39">
        <f>+(($D$144/12)*'12-DepRates'!$N$21)+((D149*'12-DepRates'!$N$21)/12*12)</f>
        <v>4069222.9816537891</v>
      </c>
      <c r="F149" s="39">
        <f>+D149*$F$128</f>
        <v>2480913.5284026559</v>
      </c>
      <c r="G149" s="39">
        <f>+$D$144*$G$128/12</f>
        <v>8782373.8879320603</v>
      </c>
      <c r="H149" s="39">
        <f t="shared" ref="H149:H160" si="25">+(E149-F149-G149)*$H$128</f>
        <v>-2013158.2151433718</v>
      </c>
      <c r="I149" s="33">
        <f>-'1-BaseTRR'!$E$106/12</f>
        <v>1872292.3165075828</v>
      </c>
      <c r="J149" s="33">
        <f>+H149+I149</f>
        <v>-140865.89863578905</v>
      </c>
      <c r="K149" s="31">
        <f t="shared" ref="K149:K160" si="26">+K132</f>
        <v>0.9178082191780822</v>
      </c>
      <c r="L149" s="39">
        <f t="shared" ref="L149:L160" si="27">+J149*K149</f>
        <v>-129287.87956983379</v>
      </c>
      <c r="M149" s="160">
        <f>+L149+M146</f>
        <v>11428685.131232381</v>
      </c>
      <c r="N149" s="8">
        <f t="shared" ref="N149:N161" si="28">+A149</f>
        <v>714</v>
      </c>
      <c r="P149" s="30"/>
    </row>
    <row r="150" spans="1:16">
      <c r="A150" s="133">
        <f t="shared" si="18"/>
        <v>715</v>
      </c>
      <c r="B150" s="27">
        <f>'1-BaseTRR'!$G$1</f>
        <v>2023</v>
      </c>
      <c r="C150" s="308" t="s">
        <v>431</v>
      </c>
      <c r="D150" s="185">
        <f>+'9-PlantAdditions'!D28</f>
        <v>116096400.44989839</v>
      </c>
      <c r="E150" s="39">
        <f>+(($D$144/12)*'12-DepRates'!$N$21)+((D150*'12-DepRates'!$N$21)/12*11)</f>
        <v>5696273.5739464834</v>
      </c>
      <c r="F150" s="39">
        <f t="shared" ref="F150:F160" si="29">+D150*$F$128</f>
        <v>5804820.0224949196</v>
      </c>
      <c r="G150" s="39">
        <f t="shared" ref="G150:G160" si="30">+$D$144*$G$128/12</f>
        <v>8782373.8879320603</v>
      </c>
      <c r="H150" s="39">
        <f t="shared" si="25"/>
        <v>-2487999.5832793559</v>
      </c>
      <c r="I150" s="33">
        <f>-'1-BaseTRR'!$E$106/12</f>
        <v>1872292.3165075828</v>
      </c>
      <c r="J150" s="33">
        <f t="shared" ref="J150:J159" si="31">+H150+I150</f>
        <v>-615707.26677177311</v>
      </c>
      <c r="K150" s="31">
        <f t="shared" si="26"/>
        <v>0.84109589041095889</v>
      </c>
      <c r="L150" s="39">
        <f t="shared" si="27"/>
        <v>-517868.85177790228</v>
      </c>
      <c r="M150" s="160">
        <f t="shared" ref="M150:M160" si="32">+L150+M149</f>
        <v>10910816.279454479</v>
      </c>
      <c r="N150" s="8">
        <f t="shared" si="28"/>
        <v>715</v>
      </c>
      <c r="P150" s="30"/>
    </row>
    <row r="151" spans="1:16">
      <c r="A151" s="133">
        <f t="shared" si="18"/>
        <v>716</v>
      </c>
      <c r="B151" s="27">
        <f>'1-BaseTRR'!$G$1</f>
        <v>2023</v>
      </c>
      <c r="C151" s="308" t="s">
        <v>432</v>
      </c>
      <c r="D151" s="185">
        <f>+'9-PlantAdditions'!D29</f>
        <v>115135775.99437858</v>
      </c>
      <c r="E151" s="39">
        <f>+(($D$144/12)*'12-DepRates'!$N$21)+((D151*'12-DepRates'!$N$21)/12*10)</f>
        <v>5396226.3121750318</v>
      </c>
      <c r="F151" s="39">
        <f t="shared" si="29"/>
        <v>5756788.7997189295</v>
      </c>
      <c r="G151" s="39">
        <f t="shared" si="30"/>
        <v>8782373.8879320603</v>
      </c>
      <c r="H151" s="39">
        <f t="shared" si="25"/>
        <v>-2558522.7435676898</v>
      </c>
      <c r="I151" s="33">
        <f>-'1-BaseTRR'!$E$106/12</f>
        <v>1872292.3165075828</v>
      </c>
      <c r="J151" s="33">
        <f t="shared" si="31"/>
        <v>-686230.427060107</v>
      </c>
      <c r="K151" s="31">
        <f t="shared" si="26"/>
        <v>0.75616438356164384</v>
      </c>
      <c r="L151" s="39">
        <f t="shared" si="27"/>
        <v>-518903.00785914942</v>
      </c>
      <c r="M151" s="160">
        <f t="shared" si="32"/>
        <v>10391913.271595329</v>
      </c>
      <c r="N151" s="8">
        <f t="shared" si="28"/>
        <v>716</v>
      </c>
    </row>
    <row r="152" spans="1:16">
      <c r="A152" s="133">
        <f t="shared" si="18"/>
        <v>717</v>
      </c>
      <c r="B152" s="27">
        <f>'1-BaseTRR'!$G$1</f>
        <v>2023</v>
      </c>
      <c r="C152" s="308" t="s">
        <v>433</v>
      </c>
      <c r="D152" s="185">
        <f>+'9-PlantAdditions'!D30</f>
        <v>142511793.06752589</v>
      </c>
      <c r="E152" s="39">
        <f>+(($D$144/12)*'12-DepRates'!$N$21)+((D152*'12-DepRates'!$N$21)/12*9)</f>
        <v>5709511.0193378441</v>
      </c>
      <c r="F152" s="39">
        <f t="shared" si="29"/>
        <v>7125589.6533762952</v>
      </c>
      <c r="G152" s="39">
        <f t="shared" si="30"/>
        <v>8782373.8879320603</v>
      </c>
      <c r="H152" s="39">
        <f t="shared" si="25"/>
        <v>-2853894.1599381394</v>
      </c>
      <c r="I152" s="33">
        <f>-'1-BaseTRR'!$E$106/12</f>
        <v>1872292.3165075828</v>
      </c>
      <c r="J152" s="33">
        <f t="shared" si="31"/>
        <v>-981601.84343055659</v>
      </c>
      <c r="K152" s="31">
        <f t="shared" si="26"/>
        <v>0.67397260273972603</v>
      </c>
      <c r="L152" s="39">
        <f t="shared" si="27"/>
        <v>-661572.74927100528</v>
      </c>
      <c r="M152" s="160">
        <f t="shared" si="32"/>
        <v>9730340.5223243237</v>
      </c>
      <c r="N152" s="8">
        <f t="shared" si="28"/>
        <v>717</v>
      </c>
    </row>
    <row r="153" spans="1:16">
      <c r="A153" s="133">
        <f t="shared" si="18"/>
        <v>718</v>
      </c>
      <c r="B153" s="27">
        <f>'1-BaseTRR'!$G$1</f>
        <v>2023</v>
      </c>
      <c r="C153" s="308" t="s">
        <v>395</v>
      </c>
      <c r="D153" s="185">
        <f>+'9-PlantAdditions'!D31</f>
        <v>227324311.86141998</v>
      </c>
      <c r="E153" s="39">
        <f>+(($D$144/12)*'12-DepRates'!$N$21)+((D153*'12-DepRates'!$N$21)/12*8)</f>
        <v>6988894.1137652509</v>
      </c>
      <c r="F153" s="39">
        <f t="shared" si="29"/>
        <v>11366215.593070999</v>
      </c>
      <c r="G153" s="39">
        <f t="shared" si="30"/>
        <v>8782373.8879320603</v>
      </c>
      <c r="H153" s="39">
        <f t="shared" si="25"/>
        <v>-3682556.5127863591</v>
      </c>
      <c r="I153" s="33">
        <f>-'1-BaseTRR'!$E$106/12</f>
        <v>1872292.3165075828</v>
      </c>
      <c r="J153" s="33">
        <f t="shared" si="31"/>
        <v>-1810264.1962787763</v>
      </c>
      <c r="K153" s="31">
        <f t="shared" si="26"/>
        <v>0.58904109589041098</v>
      </c>
      <c r="L153" s="39">
        <f t="shared" si="27"/>
        <v>-1066320.0060272245</v>
      </c>
      <c r="M153" s="160">
        <f t="shared" si="32"/>
        <v>8664020.5162970982</v>
      </c>
      <c r="N153" s="8">
        <f t="shared" si="28"/>
        <v>718</v>
      </c>
    </row>
    <row r="154" spans="1:16">
      <c r="A154" s="133">
        <f t="shared" si="18"/>
        <v>719</v>
      </c>
      <c r="B154" s="27">
        <f>'1-BaseTRR'!$G$1</f>
        <v>2023</v>
      </c>
      <c r="C154" s="308" t="s">
        <v>531</v>
      </c>
      <c r="D154" s="185">
        <f>+'9-PlantAdditions'!D32</f>
        <v>59624779.481891699</v>
      </c>
      <c r="E154" s="39">
        <f>+(($D$144/12)*'12-DepRates'!$N$21)+((D154*'12-DepRates'!$N$21)/12*7)</f>
        <v>3644234.6936960593</v>
      </c>
      <c r="F154" s="39">
        <f t="shared" si="29"/>
        <v>2981238.974094585</v>
      </c>
      <c r="G154" s="39">
        <f t="shared" si="30"/>
        <v>8782373.8879320603</v>
      </c>
      <c r="H154" s="39">
        <f t="shared" si="25"/>
        <v>-2272094.3091129577</v>
      </c>
      <c r="I154" s="33">
        <f>-'1-BaseTRR'!$E$106/12</f>
        <v>1872292.3165075828</v>
      </c>
      <c r="J154" s="33">
        <f t="shared" si="31"/>
        <v>-399801.99260537489</v>
      </c>
      <c r="K154" s="31">
        <f t="shared" si="26"/>
        <v>0.50684931506849318</v>
      </c>
      <c r="L154" s="39">
        <f t="shared" si="27"/>
        <v>-202639.36611505304</v>
      </c>
      <c r="M154" s="160">
        <f t="shared" si="32"/>
        <v>8461381.150182046</v>
      </c>
      <c r="N154" s="8">
        <f t="shared" si="28"/>
        <v>719</v>
      </c>
    </row>
    <row r="155" spans="1:16">
      <c r="A155" s="133">
        <f t="shared" si="18"/>
        <v>720</v>
      </c>
      <c r="B155" s="27">
        <f>'1-BaseTRR'!$G$1</f>
        <v>2023</v>
      </c>
      <c r="C155" s="308" t="s">
        <v>435</v>
      </c>
      <c r="D155" s="185">
        <f>+'9-PlantAdditions'!D33</f>
        <v>106348381.11542998</v>
      </c>
      <c r="E155" s="39">
        <f>+(($D$144/12)*'12-DepRates'!$N$21)+((D155*'12-DepRates'!$N$21)/12*6)</f>
        <v>4171077.0728799356</v>
      </c>
      <c r="F155" s="39">
        <f t="shared" si="29"/>
        <v>5317419.0557714999</v>
      </c>
      <c r="G155" s="39">
        <f t="shared" si="30"/>
        <v>8782373.8879320603</v>
      </c>
      <c r="H155" s="39">
        <f t="shared" si="25"/>
        <v>-2778412.1344277998</v>
      </c>
      <c r="I155" s="33">
        <f>-'1-BaseTRR'!$E$106/12</f>
        <v>1872292.3165075828</v>
      </c>
      <c r="J155" s="33">
        <f t="shared" si="31"/>
        <v>-906119.81792021706</v>
      </c>
      <c r="K155" s="31">
        <f t="shared" si="26"/>
        <v>0.42191780821917807</v>
      </c>
      <c r="L155" s="39">
        <f t="shared" si="27"/>
        <v>-382308.08756085869</v>
      </c>
      <c r="M155" s="160">
        <f t="shared" si="32"/>
        <v>8079073.0626211874</v>
      </c>
      <c r="N155" s="8">
        <f t="shared" si="28"/>
        <v>720</v>
      </c>
    </row>
    <row r="156" spans="1:16">
      <c r="A156" s="133">
        <f t="shared" si="18"/>
        <v>721</v>
      </c>
      <c r="B156" s="27">
        <f>'1-BaseTRR'!$G$1</f>
        <v>2023</v>
      </c>
      <c r="C156" s="308" t="s">
        <v>436</v>
      </c>
      <c r="D156" s="185">
        <f>+'9-PlantAdditions'!D34</f>
        <v>79795732.599498272</v>
      </c>
      <c r="E156" s="39">
        <f>+(($D$144/12)*'12-DepRates'!$N$21)+((D156*'12-DepRates'!$N$21)/12*5)</f>
        <v>3600327.0465417625</v>
      </c>
      <c r="F156" s="39">
        <f t="shared" si="29"/>
        <v>3989786.6299749138</v>
      </c>
      <c r="G156" s="39">
        <f t="shared" si="30"/>
        <v>8782373.8879320603</v>
      </c>
      <c r="H156" s="39">
        <f t="shared" si="25"/>
        <v>-2566609.1912929551</v>
      </c>
      <c r="I156" s="33">
        <f>-'1-BaseTRR'!$E$106/12</f>
        <v>1872292.3165075828</v>
      </c>
      <c r="J156" s="33">
        <f t="shared" si="31"/>
        <v>-694316.87478537229</v>
      </c>
      <c r="K156" s="31">
        <f t="shared" si="26"/>
        <v>0.33698630136986302</v>
      </c>
      <c r="L156" s="39">
        <f t="shared" si="27"/>
        <v>-233975.27561260492</v>
      </c>
      <c r="M156" s="160">
        <f t="shared" si="32"/>
        <v>7845097.7870085826</v>
      </c>
      <c r="N156" s="8">
        <f t="shared" si="28"/>
        <v>721</v>
      </c>
    </row>
    <row r="157" spans="1:16">
      <c r="A157" s="133">
        <f t="shared" si="18"/>
        <v>722</v>
      </c>
      <c r="B157" s="27">
        <f>'1-BaseTRR'!$G$1</f>
        <v>2023</v>
      </c>
      <c r="C157" s="308" t="s">
        <v>437</v>
      </c>
      <c r="D157" s="185">
        <f>+'9-PlantAdditions'!D35</f>
        <v>51957387.754123323</v>
      </c>
      <c r="E157" s="39">
        <f>+(($D$144/12)*'12-DepRates'!$N$21)+((D157*'12-DepRates'!$N$21)/12*4)</f>
        <v>3144061.6462582801</v>
      </c>
      <c r="F157" s="39">
        <f t="shared" si="29"/>
        <v>2597869.3877061661</v>
      </c>
      <c r="G157" s="39">
        <f t="shared" si="30"/>
        <v>8782373.8879320603</v>
      </c>
      <c r="H157" s="39">
        <f t="shared" si="25"/>
        <v>-2304780.1224391665</v>
      </c>
      <c r="I157" s="33">
        <f>-'1-BaseTRR'!$E$106/12</f>
        <v>1872292.3165075828</v>
      </c>
      <c r="J157" s="33">
        <f t="shared" si="31"/>
        <v>-432487.80593158375</v>
      </c>
      <c r="K157" s="31">
        <f t="shared" si="26"/>
        <v>0.25479452054794521</v>
      </c>
      <c r="L157" s="39">
        <f t="shared" si="27"/>
        <v>-110195.52315517065</v>
      </c>
      <c r="M157" s="160">
        <f t="shared" si="32"/>
        <v>7734902.2638534121</v>
      </c>
      <c r="N157" s="8">
        <f t="shared" si="28"/>
        <v>722</v>
      </c>
    </row>
    <row r="158" spans="1:16">
      <c r="A158" s="133">
        <f t="shared" si="18"/>
        <v>723</v>
      </c>
      <c r="B158" s="27">
        <f>'1-BaseTRR'!$G$1</f>
        <v>2023</v>
      </c>
      <c r="C158" s="308" t="s">
        <v>438</v>
      </c>
      <c r="D158" s="185">
        <f>+'9-PlantAdditions'!D36</f>
        <v>80698909.42913574</v>
      </c>
      <c r="E158" s="39">
        <f>+(($D$144/12)*'12-DepRates'!$N$21)+((D158*'12-DepRates'!$N$21)/12*3)</f>
        <v>3225856.0485030198</v>
      </c>
      <c r="F158" s="39">
        <f t="shared" si="29"/>
        <v>4034945.4714567871</v>
      </c>
      <c r="G158" s="39">
        <f t="shared" si="30"/>
        <v>8782373.8879320603</v>
      </c>
      <c r="H158" s="39">
        <f t="shared" si="25"/>
        <v>-2684036.7270650463</v>
      </c>
      <c r="I158" s="33">
        <f>-'1-BaseTRR'!$E$106/12</f>
        <v>1872292.3165075828</v>
      </c>
      <c r="J158" s="33">
        <f t="shared" si="31"/>
        <v>-811744.41055746353</v>
      </c>
      <c r="K158" s="31">
        <f t="shared" si="26"/>
        <v>0.16986301369863013</v>
      </c>
      <c r="L158" s="39">
        <f t="shared" si="27"/>
        <v>-137885.35193030888</v>
      </c>
      <c r="M158" s="160">
        <f t="shared" si="32"/>
        <v>7597016.911923103</v>
      </c>
      <c r="N158" s="8">
        <f t="shared" si="28"/>
        <v>723</v>
      </c>
    </row>
    <row r="159" spans="1:16">
      <c r="A159" s="133">
        <f t="shared" si="18"/>
        <v>724</v>
      </c>
      <c r="B159" s="27">
        <f>'1-BaseTRR'!$G$1</f>
        <v>2023</v>
      </c>
      <c r="C159" s="308" t="s">
        <v>439</v>
      </c>
      <c r="D159" s="185">
        <f>+'9-PlantAdditions'!D37</f>
        <v>97025439.715009868</v>
      </c>
      <c r="E159" s="39">
        <f>+(($D$144/12)*'12-DepRates'!$N$21)+((D159*'12-DepRates'!$N$21)/12*2)</f>
        <v>3111172.499970214</v>
      </c>
      <c r="F159" s="39">
        <f t="shared" si="29"/>
        <v>4851271.9857504936</v>
      </c>
      <c r="G159" s="39">
        <f t="shared" si="30"/>
        <v>8782373.8879320603</v>
      </c>
      <c r="H159" s="39">
        <f t="shared" si="25"/>
        <v>-2944566.859006166</v>
      </c>
      <c r="I159" s="33">
        <f>-'1-BaseTRR'!$E$106/12</f>
        <v>1872292.3165075828</v>
      </c>
      <c r="J159" s="33">
        <f t="shared" si="31"/>
        <v>-1072274.5424985832</v>
      </c>
      <c r="K159" s="31">
        <f t="shared" si="26"/>
        <v>8.7671232876712329E-2</v>
      </c>
      <c r="L159" s="39">
        <f t="shared" si="27"/>
        <v>-94007.631123163461</v>
      </c>
      <c r="M159" s="160">
        <f t="shared" si="32"/>
        <v>7503009.2807999393</v>
      </c>
      <c r="N159" s="8">
        <f t="shared" si="28"/>
        <v>724</v>
      </c>
    </row>
    <row r="160" spans="1:16">
      <c r="A160" s="133">
        <f t="shared" si="18"/>
        <v>725</v>
      </c>
      <c r="B160" s="27">
        <f>'1-BaseTRR'!$G$1</f>
        <v>2023</v>
      </c>
      <c r="C160" s="308" t="s">
        <v>428</v>
      </c>
      <c r="D160" s="522">
        <f>+'9-PlantAdditions'!D38</f>
        <v>160287416.34041917</v>
      </c>
      <c r="E160" s="523">
        <f>+(($D$144/12)*'12-DepRates'!$N$21)+((D160*'12-DepRates'!$N$21)/12*1)</f>
        <v>3030580.4436332504</v>
      </c>
      <c r="F160" s="523">
        <f t="shared" si="29"/>
        <v>8014370.8170209592</v>
      </c>
      <c r="G160" s="523">
        <f t="shared" si="30"/>
        <v>8782373.8879320603</v>
      </c>
      <c r="H160" s="523">
        <f t="shared" si="25"/>
        <v>-3852268.3422306785</v>
      </c>
      <c r="I160" s="524">
        <f>-'1-BaseTRR'!$E$106/12</f>
        <v>1872292.3165075828</v>
      </c>
      <c r="J160" s="828">
        <f>E160-D160</f>
        <v>-157256835.89678591</v>
      </c>
      <c r="K160" s="31">
        <f t="shared" si="26"/>
        <v>2.7397260273972603E-3</v>
      </c>
      <c r="L160" s="39">
        <f t="shared" si="27"/>
        <v>-430840.64629256417</v>
      </c>
      <c r="M160" s="160">
        <f t="shared" si="32"/>
        <v>7072168.6345073748</v>
      </c>
      <c r="N160" s="8">
        <f t="shared" si="28"/>
        <v>725</v>
      </c>
    </row>
    <row r="161" spans="1:14">
      <c r="A161" s="133">
        <f t="shared" si="18"/>
        <v>726</v>
      </c>
      <c r="C161" s="308" t="s">
        <v>1219</v>
      </c>
      <c r="D161" s="229">
        <f t="shared" ref="D161:J161" si="33">SUM(D149:D160)</f>
        <v>1286424598.3767838</v>
      </c>
      <c r="E161" s="531">
        <f t="shared" si="33"/>
        <v>51787437.452360921</v>
      </c>
      <c r="F161" s="531">
        <f t="shared" si="33"/>
        <v>64321229.918839216</v>
      </c>
      <c r="G161" s="531">
        <f t="shared" si="33"/>
        <v>105388486.65518473</v>
      </c>
      <c r="H161" s="531">
        <f t="shared" si="33"/>
        <v>-32998898.900289688</v>
      </c>
      <c r="I161" s="354">
        <f t="shared" si="33"/>
        <v>22467507.798090991</v>
      </c>
      <c r="J161" s="354">
        <f t="shared" si="33"/>
        <v>-165808250.97326151</v>
      </c>
      <c r="K161" s="160"/>
      <c r="N161" s="8">
        <f t="shared" si="28"/>
        <v>726</v>
      </c>
    </row>
    <row r="162" spans="1:14">
      <c r="E162" s="39"/>
      <c r="N162" s="12"/>
    </row>
    <row r="163" spans="1:14">
      <c r="A163" s="133">
        <f>A161+1</f>
        <v>727</v>
      </c>
      <c r="C163" s="555" t="s">
        <v>1231</v>
      </c>
      <c r="D163" s="229">
        <f>+D144+D161</f>
        <v>2395777089.4839916</v>
      </c>
      <c r="E163" s="229">
        <f>+E144+E161</f>
        <v>68269603.427378595</v>
      </c>
      <c r="F163" s="229">
        <f>+F144+F161</f>
        <v>119788854.47419959</v>
      </c>
      <c r="G163" s="229">
        <f>+G144+G161</f>
        <v>105388486.65518473</v>
      </c>
      <c r="H163" s="556">
        <f>+H144+H161</f>
        <v>-43908433.68757847</v>
      </c>
      <c r="M163" s="160">
        <f>+M160</f>
        <v>7072168.6345073748</v>
      </c>
      <c r="N163" s="8">
        <f>+A163</f>
        <v>727</v>
      </c>
    </row>
    <row r="164" spans="1:14" ht="29">
      <c r="A164" s="133">
        <f t="shared" ref="A164" si="34">A163+1</f>
        <v>728</v>
      </c>
      <c r="C164" s="308" t="s">
        <v>1232</v>
      </c>
      <c r="D164" s="20"/>
      <c r="G164" s="39"/>
      <c r="H164" s="39"/>
      <c r="M164" s="529">
        <f>((M163*'1-BaseTRR'!E68)*(1+'1-BaseTRR'!E99/(1-'1-BaseTRR'!E99)))+(M163*'1-BaseTRR'!E63)</f>
        <v>637451.54938542505</v>
      </c>
      <c r="N164" s="8">
        <f>+A164</f>
        <v>728</v>
      </c>
    </row>
    <row r="165" spans="1:14">
      <c r="A165" s="133"/>
      <c r="M165" s="15" t="s">
        <v>251</v>
      </c>
      <c r="N165" s="8"/>
    </row>
    <row r="166" spans="1:14">
      <c r="N166" s="8"/>
    </row>
    <row r="167" spans="1:14">
      <c r="A167" s="121" t="s">
        <v>100</v>
      </c>
      <c r="B167" s="13" t="s">
        <v>420</v>
      </c>
      <c r="C167" s="13" t="s">
        <v>1233</v>
      </c>
      <c r="N167" s="13" t="str">
        <f t="shared" ref="N167:N183" si="35">+A167</f>
        <v>Line</v>
      </c>
    </row>
    <row r="168" spans="1:14">
      <c r="A168" s="133">
        <f>A164+1</f>
        <v>729</v>
      </c>
      <c r="B168" s="30">
        <v>1</v>
      </c>
      <c r="C168" s="31">
        <v>0.05</v>
      </c>
      <c r="N168" s="8">
        <f t="shared" si="35"/>
        <v>729</v>
      </c>
    </row>
    <row r="169" spans="1:14">
      <c r="A169" s="133">
        <f t="shared" ref="A169:A183" si="36">+A168+1</f>
        <v>730</v>
      </c>
      <c r="B169" s="30">
        <f>+B168+1</f>
        <v>2</v>
      </c>
      <c r="C169" s="31">
        <v>9.5000000000000001E-2</v>
      </c>
      <c r="E169" s="378"/>
      <c r="F169" s="160"/>
      <c r="N169" s="8">
        <f t="shared" si="35"/>
        <v>730</v>
      </c>
    </row>
    <row r="170" spans="1:14">
      <c r="A170" s="133">
        <f t="shared" si="36"/>
        <v>731</v>
      </c>
      <c r="B170" s="30">
        <f t="shared" ref="B170:B182" si="37">+B169+1</f>
        <v>3</v>
      </c>
      <c r="C170" s="31">
        <v>8.5500000000000007E-2</v>
      </c>
      <c r="E170" s="378"/>
      <c r="F170" s="160"/>
      <c r="N170" s="8">
        <f t="shared" si="35"/>
        <v>731</v>
      </c>
    </row>
    <row r="171" spans="1:14">
      <c r="A171" s="133">
        <f t="shared" si="36"/>
        <v>732</v>
      </c>
      <c r="B171" s="30">
        <f t="shared" si="37"/>
        <v>4</v>
      </c>
      <c r="C171" s="31">
        <v>7.6999999999999999E-2</v>
      </c>
      <c r="E171" s="378"/>
      <c r="F171" s="160"/>
      <c r="N171" s="8">
        <f t="shared" si="35"/>
        <v>732</v>
      </c>
    </row>
    <row r="172" spans="1:14">
      <c r="A172" s="133">
        <f t="shared" si="36"/>
        <v>733</v>
      </c>
      <c r="B172" s="30">
        <f t="shared" si="37"/>
        <v>5</v>
      </c>
      <c r="C172" s="31">
        <v>6.93E-2</v>
      </c>
      <c r="E172" s="378"/>
      <c r="F172" s="160"/>
      <c r="N172" s="8">
        <f t="shared" si="35"/>
        <v>733</v>
      </c>
    </row>
    <row r="173" spans="1:14">
      <c r="A173" s="133">
        <f t="shared" si="36"/>
        <v>734</v>
      </c>
      <c r="B173" s="30">
        <f t="shared" si="37"/>
        <v>6</v>
      </c>
      <c r="C173" s="31">
        <v>6.2300000000000001E-2</v>
      </c>
      <c r="E173" s="378"/>
      <c r="F173" s="160"/>
      <c r="N173" s="8">
        <f t="shared" si="35"/>
        <v>734</v>
      </c>
    </row>
    <row r="174" spans="1:14">
      <c r="A174" s="133">
        <f t="shared" si="36"/>
        <v>735</v>
      </c>
      <c r="B174" s="30">
        <f t="shared" si="37"/>
        <v>7</v>
      </c>
      <c r="C174" s="31">
        <v>5.8999999999999997E-2</v>
      </c>
      <c r="E174" s="378"/>
      <c r="F174" s="160"/>
      <c r="N174" s="8">
        <f t="shared" si="35"/>
        <v>735</v>
      </c>
    </row>
    <row r="175" spans="1:14">
      <c r="A175" s="133">
        <f t="shared" si="36"/>
        <v>736</v>
      </c>
      <c r="B175" s="30">
        <f t="shared" si="37"/>
        <v>8</v>
      </c>
      <c r="C175" s="31">
        <v>5.8999999999999997E-2</v>
      </c>
      <c r="E175" s="378"/>
      <c r="F175" s="160"/>
      <c r="N175" s="8">
        <f t="shared" si="35"/>
        <v>736</v>
      </c>
    </row>
    <row r="176" spans="1:14">
      <c r="A176" s="133">
        <f t="shared" si="36"/>
        <v>737</v>
      </c>
      <c r="B176" s="30">
        <f t="shared" si="37"/>
        <v>9</v>
      </c>
      <c r="C176" s="31">
        <v>5.91E-2</v>
      </c>
      <c r="E176" s="378"/>
      <c r="F176" s="160"/>
      <c r="N176" s="8">
        <f t="shared" si="35"/>
        <v>737</v>
      </c>
    </row>
    <row r="177" spans="1:14">
      <c r="A177" s="133">
        <f t="shared" si="36"/>
        <v>738</v>
      </c>
      <c r="B177" s="30">
        <f t="shared" si="37"/>
        <v>10</v>
      </c>
      <c r="C177" s="31">
        <v>5.8999999999999997E-2</v>
      </c>
      <c r="E177" s="378"/>
      <c r="F177" s="160"/>
      <c r="N177" s="8">
        <f t="shared" si="35"/>
        <v>738</v>
      </c>
    </row>
    <row r="178" spans="1:14">
      <c r="A178" s="133">
        <f t="shared" si="36"/>
        <v>739</v>
      </c>
      <c r="B178" s="30">
        <f t="shared" si="37"/>
        <v>11</v>
      </c>
      <c r="C178" s="31">
        <v>5.91E-2</v>
      </c>
      <c r="E178" s="378"/>
      <c r="F178" s="160"/>
      <c r="N178" s="8">
        <f t="shared" si="35"/>
        <v>739</v>
      </c>
    </row>
    <row r="179" spans="1:14">
      <c r="A179" s="133">
        <f t="shared" si="36"/>
        <v>740</v>
      </c>
      <c r="B179" s="30">
        <f t="shared" si="37"/>
        <v>12</v>
      </c>
      <c r="C179" s="31">
        <v>5.8999999999999997E-2</v>
      </c>
      <c r="E179" s="378"/>
      <c r="F179" s="160"/>
      <c r="N179" s="8">
        <f t="shared" si="35"/>
        <v>740</v>
      </c>
    </row>
    <row r="180" spans="1:14">
      <c r="A180" s="133">
        <f t="shared" si="36"/>
        <v>741</v>
      </c>
      <c r="B180" s="30">
        <f t="shared" si="37"/>
        <v>13</v>
      </c>
      <c r="C180" s="31">
        <v>5.91E-2</v>
      </c>
      <c r="E180" s="378"/>
      <c r="F180" s="160"/>
      <c r="N180" s="8">
        <f t="shared" si="35"/>
        <v>741</v>
      </c>
    </row>
    <row r="181" spans="1:14">
      <c r="A181" s="133">
        <f t="shared" si="36"/>
        <v>742</v>
      </c>
      <c r="B181" s="30">
        <f t="shared" si="37"/>
        <v>14</v>
      </c>
      <c r="C181" s="31">
        <v>5.8999999999999997E-2</v>
      </c>
      <c r="E181" s="378"/>
      <c r="N181" s="8">
        <f t="shared" si="35"/>
        <v>742</v>
      </c>
    </row>
    <row r="182" spans="1:14">
      <c r="A182" s="133">
        <f t="shared" si="36"/>
        <v>743</v>
      </c>
      <c r="B182" s="30">
        <f t="shared" si="37"/>
        <v>15</v>
      </c>
      <c r="C182" s="31">
        <v>5.91E-2</v>
      </c>
      <c r="E182" s="160"/>
      <c r="N182" s="8">
        <f t="shared" si="35"/>
        <v>743</v>
      </c>
    </row>
    <row r="183" spans="1:14">
      <c r="A183" s="133">
        <f t="shared" si="36"/>
        <v>744</v>
      </c>
      <c r="B183" s="30">
        <f>+B182+1</f>
        <v>16</v>
      </c>
      <c r="C183" s="31">
        <v>2.9499999999999998E-2</v>
      </c>
      <c r="N183" s="8">
        <f t="shared" si="35"/>
        <v>744</v>
      </c>
    </row>
    <row r="184" spans="1:14">
      <c r="A184" s="30"/>
      <c r="K184" s="8"/>
    </row>
    <row r="185" spans="1:14">
      <c r="A185" s="30"/>
      <c r="B185" s="208" t="s">
        <v>306</v>
      </c>
      <c r="K185" s="8"/>
    </row>
    <row r="186" spans="1:14">
      <c r="A186" s="30"/>
      <c r="B186" s="841" t="s">
        <v>1234</v>
      </c>
      <c r="C186" s="841"/>
      <c r="D186" s="841"/>
      <c r="E186" s="841"/>
      <c r="F186" s="841"/>
      <c r="G186" s="841"/>
      <c r="H186" s="841"/>
      <c r="I186" s="841"/>
      <c r="J186" s="841"/>
      <c r="K186" s="8"/>
    </row>
    <row r="187" spans="1:14">
      <c r="A187" s="30"/>
      <c r="B187" s="841" t="s">
        <v>1235</v>
      </c>
      <c r="C187" s="841"/>
      <c r="D187" s="841"/>
      <c r="E187" s="841"/>
      <c r="F187" s="841"/>
      <c r="G187" s="841"/>
      <c r="H187" s="841"/>
      <c r="I187" s="841"/>
      <c r="J187" s="841"/>
      <c r="K187" s="8"/>
    </row>
    <row r="188" spans="1:14">
      <c r="B188" t="s">
        <v>1236</v>
      </c>
    </row>
  </sheetData>
  <protectedRanges>
    <protectedRange password="F1C4" sqref="J58" name="AAReport1_23_1_1_2_3"/>
    <protectedRange password="F1C4" sqref="F33:F34" name="AAReport1_23_1_1_2_1_1"/>
    <protectedRange password="F1C4" sqref="E29:E30" name="AAReport1_23_1_1_2_1"/>
    <protectedRange password="F1C4" sqref="E52:E53" name="AAReport1_23_1_1_2_2"/>
    <protectedRange password="F1C4" sqref="E73:E74" name="AAReport1_23_1_1_2_4"/>
    <protectedRange password="F1C4" sqref="E90:E91" name="AAReport1_23_1_1_2_5"/>
    <protectedRange password="F1C4" sqref="D17" name="AAReport1_23_1_1_2_7"/>
  </protectedRanges>
  <mergeCells count="2">
    <mergeCell ref="B186:J186"/>
    <mergeCell ref="B187:J187"/>
  </mergeCells>
  <conditionalFormatting sqref="B80 D80 D96">
    <cfRule type="expression" dxfId="5" priority="12" stopIfTrue="1">
      <formula>Formulas</formula>
    </cfRule>
  </conditionalFormatting>
  <conditionalFormatting sqref="B96">
    <cfRule type="expression" dxfId="4" priority="9" stopIfTrue="1">
      <formula>Formulas</formula>
    </cfRule>
  </conditionalFormatting>
  <conditionalFormatting sqref="C76:C79">
    <cfRule type="expression" dxfId="3" priority="4" stopIfTrue="1">
      <formula>#REF!&lt;&gt;""</formula>
    </cfRule>
  </conditionalFormatting>
  <conditionalFormatting sqref="C80">
    <cfRule type="expression" dxfId="2" priority="11" stopIfTrue="1">
      <formula>#REF!&lt;&gt;""</formula>
    </cfRule>
  </conditionalFormatting>
  <conditionalFormatting sqref="C93">
    <cfRule type="expression" dxfId="1" priority="3" stopIfTrue="1">
      <formula>#REF!&lt;&gt;""</formula>
    </cfRule>
  </conditionalFormatting>
  <conditionalFormatting sqref="C94:C96">
    <cfRule type="expression" dxfId="0" priority="1" stopIfTrue="1">
      <formula>#REF!&lt;&gt;""</formula>
    </cfRule>
  </conditionalFormatting>
  <printOptions horizontalCentered="1"/>
  <pageMargins left="1" right="1" top="1" bottom="1" header="0.5" footer="0.5"/>
  <pageSetup scale="34"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rowBreaks count="2" manualBreakCount="2">
    <brk id="69" max="13" man="1"/>
    <brk id="124" max="13" man="1"/>
  </rowBreaks>
  <customProperties>
    <customPr name="_pios_id" r:id="rId2"/>
    <customPr name="EpmWorksheetKeyString_GUID" r:id="rId3"/>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160"/>
  <sheetViews>
    <sheetView tabSelected="1" view="pageBreakPreview" zoomScaleSheetLayoutView="100" zoomScalePageLayoutView="85" workbookViewId="0">
      <selection activeCell="E174" sqref="E174"/>
    </sheetView>
  </sheetViews>
  <sheetFormatPr defaultColWidth="9.1796875" defaultRowHeight="14.5"/>
  <cols>
    <col min="1" max="1" width="4.54296875" bestFit="1" customWidth="1"/>
    <col min="2" max="2" width="59.54296875" bestFit="1" customWidth="1"/>
    <col min="3" max="3" width="20.81640625" customWidth="1"/>
    <col min="4" max="4" width="56.7265625" style="6" bestFit="1" customWidth="1"/>
    <col min="5" max="5" width="22.54296875" bestFit="1" customWidth="1"/>
    <col min="6" max="6" width="19.453125" bestFit="1" customWidth="1"/>
    <col min="7" max="7" width="4.54296875" bestFit="1" customWidth="1"/>
    <col min="10" max="10" width="13.453125" customWidth="1"/>
    <col min="11" max="11" width="25.1796875" customWidth="1"/>
  </cols>
  <sheetData>
    <row r="1" spans="1:7">
      <c r="B1" s="12" t="s">
        <v>42</v>
      </c>
      <c r="E1" s="15"/>
      <c r="F1" s="15" t="str">
        <f>CONCATENATE("Prior Year: ",'1-BaseTRR'!$G$2)</f>
        <v>Prior Year: 2021</v>
      </c>
    </row>
    <row r="2" spans="1:7">
      <c r="B2" s="119" t="s">
        <v>131</v>
      </c>
      <c r="E2" s="15"/>
      <c r="F2" s="15"/>
    </row>
    <row r="3" spans="1:7">
      <c r="B3" s="144"/>
      <c r="G3" s="315"/>
    </row>
    <row r="4" spans="1:7">
      <c r="B4" s="58" t="s">
        <v>1237</v>
      </c>
      <c r="C4" s="55"/>
      <c r="D4" s="54"/>
      <c r="E4" s="55"/>
      <c r="F4" s="55"/>
      <c r="G4" s="315"/>
    </row>
    <row r="5" spans="1:7">
      <c r="A5" s="13" t="s">
        <v>100</v>
      </c>
      <c r="B5" s="13" t="s">
        <v>6</v>
      </c>
      <c r="C5" s="13" t="s">
        <v>448</v>
      </c>
      <c r="D5" s="13" t="s">
        <v>135</v>
      </c>
      <c r="E5" s="13" t="s">
        <v>136</v>
      </c>
      <c r="F5" s="13" t="str">
        <f>A5</f>
        <v>Line</v>
      </c>
    </row>
    <row r="6" spans="1:7">
      <c r="A6" s="133">
        <v>100</v>
      </c>
      <c r="B6" t="s">
        <v>1238</v>
      </c>
      <c r="C6" s="353">
        <v>200840150.5388512</v>
      </c>
      <c r="D6" s="6" t="s">
        <v>1239</v>
      </c>
      <c r="E6" s="38"/>
      <c r="F6" s="133">
        <f>A6</f>
        <v>100</v>
      </c>
    </row>
    <row r="7" spans="1:7">
      <c r="A7" s="133">
        <f>A6+1</f>
        <v>101</v>
      </c>
      <c r="B7" t="s">
        <v>1240</v>
      </c>
      <c r="C7" s="33">
        <f>C8-C6</f>
        <v>125341153.4611488</v>
      </c>
      <c r="D7" s="6" t="str">
        <f>CONCATENATE("Line ",A8," - ","Line ",A6)</f>
        <v>Line 102 - Line 100</v>
      </c>
      <c r="F7" s="133">
        <f>A7</f>
        <v>101</v>
      </c>
    </row>
    <row r="8" spans="1:7">
      <c r="A8" s="133">
        <f>A7+1</f>
        <v>102</v>
      </c>
      <c r="B8" t="s">
        <v>1241</v>
      </c>
      <c r="C8" s="353">
        <v>326181304</v>
      </c>
      <c r="D8" s="456" t="s">
        <v>1242</v>
      </c>
      <c r="F8" s="133">
        <f>A8</f>
        <v>102</v>
      </c>
    </row>
    <row r="9" spans="1:7">
      <c r="C9" s="20"/>
      <c r="D9" s="456"/>
      <c r="E9" s="38"/>
    </row>
    <row r="10" spans="1:7">
      <c r="B10" s="58" t="s">
        <v>1243</v>
      </c>
      <c r="C10" s="60"/>
      <c r="D10" s="457"/>
      <c r="E10" s="316"/>
    </row>
    <row r="11" spans="1:7">
      <c r="A11" s="13" t="s">
        <v>100</v>
      </c>
      <c r="B11" s="13" t="s">
        <v>6</v>
      </c>
      <c r="C11" s="317" t="s">
        <v>448</v>
      </c>
      <c r="D11" s="13" t="s">
        <v>135</v>
      </c>
      <c r="E11" s="13" t="s">
        <v>136</v>
      </c>
      <c r="F11" s="13" t="str">
        <f>A11</f>
        <v>Line</v>
      </c>
    </row>
    <row r="12" spans="1:7">
      <c r="A12" s="133">
        <f>A8+1</f>
        <v>103</v>
      </c>
      <c r="B12" t="s">
        <v>1244</v>
      </c>
      <c r="C12" s="353">
        <v>126586601.5</v>
      </c>
      <c r="D12" s="6" t="s">
        <v>1245</v>
      </c>
      <c r="E12" s="38"/>
      <c r="F12" s="133">
        <f>A12</f>
        <v>103</v>
      </c>
    </row>
    <row r="13" spans="1:7">
      <c r="A13" s="133">
        <f>A12+1</f>
        <v>104</v>
      </c>
      <c r="B13" t="s">
        <v>1246</v>
      </c>
      <c r="C13" s="33">
        <f>C14-C12</f>
        <v>129287222.5</v>
      </c>
      <c r="D13" s="6" t="str">
        <f>CONCATENATE("Line ",A14," - ","Line ",A12)</f>
        <v>Line 105 - Line 103</v>
      </c>
      <c r="F13" s="133">
        <f>A13</f>
        <v>104</v>
      </c>
    </row>
    <row r="14" spans="1:7">
      <c r="A14" s="133">
        <f>A13+1</f>
        <v>105</v>
      </c>
      <c r="B14" t="s">
        <v>1241</v>
      </c>
      <c r="C14" s="353">
        <v>255873824</v>
      </c>
      <c r="D14" s="456" t="s">
        <v>1247</v>
      </c>
      <c r="F14" s="133">
        <f>A14</f>
        <v>105</v>
      </c>
    </row>
    <row r="15" spans="1:7">
      <c r="A15" s="133"/>
      <c r="C15" s="33"/>
      <c r="D15" s="456"/>
      <c r="E15" s="38"/>
      <c r="F15" s="133"/>
    </row>
    <row r="16" spans="1:7">
      <c r="A16" s="133">
        <f>A14+1</f>
        <v>106</v>
      </c>
      <c r="B16" t="s">
        <v>1248</v>
      </c>
      <c r="C16" s="353">
        <v>7472552.4640722312</v>
      </c>
      <c r="D16" s="6" t="s">
        <v>1249</v>
      </c>
      <c r="F16" s="133">
        <f>A16</f>
        <v>106</v>
      </c>
    </row>
    <row r="17" spans="1:7">
      <c r="A17" s="133">
        <f>A16+1</f>
        <v>107</v>
      </c>
      <c r="B17" t="s">
        <v>1250</v>
      </c>
      <c r="C17" s="33">
        <f>C18-C16</f>
        <v>121671603.53592777</v>
      </c>
      <c r="D17" s="6" t="str">
        <f>CONCATENATE("Line ",A18," - ","Line ",A16)</f>
        <v>Line 108 - Line 106</v>
      </c>
      <c r="F17" s="133">
        <f>A17</f>
        <v>107</v>
      </c>
    </row>
    <row r="18" spans="1:7">
      <c r="A18" s="133">
        <f>A17+1</f>
        <v>108</v>
      </c>
      <c r="B18" t="s">
        <v>1251</v>
      </c>
      <c r="C18" s="353">
        <v>129144156</v>
      </c>
      <c r="D18" s="6" t="s">
        <v>1252</v>
      </c>
      <c r="F18" s="133">
        <f>A18</f>
        <v>108</v>
      </c>
    </row>
    <row r="19" spans="1:7">
      <c r="A19" s="133"/>
      <c r="C19" s="33"/>
      <c r="F19" s="133"/>
    </row>
    <row r="20" spans="1:7">
      <c r="A20" s="133">
        <f>A18+1</f>
        <v>109</v>
      </c>
      <c r="B20" s="15" t="s">
        <v>1253</v>
      </c>
      <c r="C20" s="354">
        <f>AVERAGE(C6,C12)</f>
        <v>163713376.0194256</v>
      </c>
      <c r="D20" s="6" t="str">
        <f>"Average of Lines "&amp;A6&amp;" and "&amp;A12&amp;""</f>
        <v>Average of Lines 100 and 103</v>
      </c>
      <c r="F20" s="133">
        <f>A20</f>
        <v>109</v>
      </c>
    </row>
    <row r="21" spans="1:7">
      <c r="A21" s="133"/>
      <c r="C21" s="15"/>
      <c r="D21" s="458"/>
      <c r="E21" s="6"/>
      <c r="G21" s="133"/>
    </row>
    <row r="22" spans="1:7">
      <c r="B22" s="16"/>
    </row>
    <row r="32" spans="1:7">
      <c r="D32" s="2"/>
      <c r="E32" s="17"/>
    </row>
    <row r="144" spans="11:11">
      <c r="K144" t="e">
        <f>E30/E144*E151</f>
        <v>#DIV/0!</v>
      </c>
    </row>
    <row r="160" spans="10:10">
      <c r="J160">
        <f>E160-D160</f>
        <v>0</v>
      </c>
    </row>
  </sheetData>
  <protectedRanges>
    <protectedRange password="F1C4" sqref="D7 D13 D17" name="AAReport1_23_1_1_2_3"/>
  </protectedRanges>
  <printOptions horizontalCentered="1"/>
  <pageMargins left="1" right="1" top="1" bottom="1" header="0.5" footer="0.5"/>
  <pageSetup scale="61"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K160"/>
  <sheetViews>
    <sheetView tabSelected="1" view="pageBreakPreview" topLeftCell="A24" zoomScale="70" zoomScaleNormal="85" zoomScaleSheetLayoutView="70" workbookViewId="0">
      <selection activeCell="E174" sqref="E174"/>
    </sheetView>
  </sheetViews>
  <sheetFormatPr defaultColWidth="9.1796875" defaultRowHeight="14.5"/>
  <cols>
    <col min="1" max="1" width="6.7265625" bestFit="1" customWidth="1"/>
    <col min="2" max="2" width="47.1796875" customWidth="1"/>
    <col min="3" max="3" width="4.453125" customWidth="1"/>
    <col min="4" max="4" width="22.7265625" customWidth="1"/>
    <col min="5" max="5" width="21.453125" customWidth="1"/>
    <col min="6" max="6" width="57.26953125" bestFit="1" customWidth="1"/>
    <col min="7" max="7" width="7" bestFit="1" customWidth="1"/>
    <col min="8" max="9" width="9.1796875" customWidth="1"/>
    <col min="10" max="10" width="13.453125" customWidth="1"/>
    <col min="11" max="11" width="25.1796875" customWidth="1"/>
  </cols>
  <sheetData>
    <row r="1" spans="1:10">
      <c r="B1" s="12" t="s">
        <v>44</v>
      </c>
      <c r="F1" s="15" t="str">
        <f>CONCATENATE("Prior Year: ",'1-BaseTRR'!$G$2)</f>
        <v>Prior Year: 2021</v>
      </c>
    </row>
    <row r="2" spans="1:10">
      <c r="B2" s="119" t="s">
        <v>131</v>
      </c>
      <c r="F2" s="15"/>
    </row>
    <row r="3" spans="1:10">
      <c r="B3" s="144"/>
      <c r="D3" s="8" t="s">
        <v>371</v>
      </c>
      <c r="E3" s="8" t="s">
        <v>372</v>
      </c>
      <c r="F3" s="13" t="s">
        <v>135</v>
      </c>
    </row>
    <row r="4" spans="1:10">
      <c r="A4" s="13" t="s">
        <v>100</v>
      </c>
      <c r="B4" s="58" t="s">
        <v>1254</v>
      </c>
      <c r="C4" s="55"/>
      <c r="D4" s="55"/>
      <c r="E4" s="55"/>
      <c r="F4" s="55"/>
      <c r="G4" s="13" t="str">
        <f>A4</f>
        <v>Line</v>
      </c>
    </row>
    <row r="5" spans="1:10">
      <c r="A5" s="8">
        <v>100</v>
      </c>
      <c r="B5" s="6" t="s">
        <v>1255</v>
      </c>
      <c r="E5" s="69">
        <f>E18+E27+E34+E43+E52</f>
        <v>-96631982</v>
      </c>
      <c r="F5" s="6" t="s">
        <v>1256</v>
      </c>
      <c r="G5" s="8">
        <f>A5</f>
        <v>100</v>
      </c>
    </row>
    <row r="6" spans="1:10">
      <c r="A6" s="8">
        <f>A5+1</f>
        <v>101</v>
      </c>
      <c r="B6" s="6" t="s">
        <v>1257</v>
      </c>
      <c r="E6" s="69">
        <f>E15+E25+E41+E32+E50</f>
        <v>-125205229.9317579</v>
      </c>
      <c r="F6" s="6" t="s">
        <v>1258</v>
      </c>
      <c r="G6" s="8">
        <f>A6</f>
        <v>101</v>
      </c>
    </row>
    <row r="7" spans="1:10">
      <c r="B7" s="144"/>
    </row>
    <row r="8" spans="1:10">
      <c r="B8" s="58" t="s">
        <v>1259</v>
      </c>
      <c r="C8" s="55"/>
      <c r="D8" s="55"/>
      <c r="E8" s="55"/>
      <c r="F8" s="55"/>
    </row>
    <row r="9" spans="1:10">
      <c r="D9" s="13" t="s">
        <v>371</v>
      </c>
      <c r="E9" s="13" t="s">
        <v>372</v>
      </c>
      <c r="F9" s="30"/>
    </row>
    <row r="10" spans="1:10" ht="24" customHeight="1">
      <c r="A10" s="13" t="s">
        <v>100</v>
      </c>
      <c r="B10" s="13" t="s">
        <v>6</v>
      </c>
      <c r="C10" s="13"/>
      <c r="D10" s="169" t="s">
        <v>1260</v>
      </c>
      <c r="E10" s="13" t="s">
        <v>1261</v>
      </c>
      <c r="F10" s="13" t="s">
        <v>135</v>
      </c>
      <c r="G10" s="13" t="str">
        <f t="shared" ref="G10:G15" si="0">A10</f>
        <v>Line</v>
      </c>
    </row>
    <row r="11" spans="1:10" ht="18" customHeight="1">
      <c r="A11" s="8">
        <v>200</v>
      </c>
      <c r="B11" t="s">
        <v>1262</v>
      </c>
      <c r="D11" s="52">
        <v>-337183744.5</v>
      </c>
      <c r="E11" s="52">
        <v>-361396927.81</v>
      </c>
      <c r="F11" s="2" t="s">
        <v>111</v>
      </c>
      <c r="G11" s="8">
        <f t="shared" si="0"/>
        <v>200</v>
      </c>
    </row>
    <row r="12" spans="1:10" ht="18" customHeight="1">
      <c r="A12" s="8">
        <f>A11+1</f>
        <v>201</v>
      </c>
      <c r="B12" t="s">
        <v>1263</v>
      </c>
      <c r="D12" s="26">
        <v>45700000</v>
      </c>
      <c r="E12" s="26">
        <v>45700000</v>
      </c>
      <c r="F12" s="2" t="s">
        <v>203</v>
      </c>
      <c r="G12" s="8">
        <f t="shared" si="0"/>
        <v>201</v>
      </c>
    </row>
    <row r="13" spans="1:10" ht="18" customHeight="1">
      <c r="A13" s="8">
        <f>A12+1</f>
        <v>202</v>
      </c>
      <c r="B13" t="s">
        <v>1264</v>
      </c>
      <c r="D13" s="32">
        <f>+D12+D11</f>
        <v>-291483744.5</v>
      </c>
      <c r="E13" s="32">
        <f>+E12+E11</f>
        <v>-315696927.81</v>
      </c>
      <c r="F13" s="6" t="str">
        <f>"Line "&amp;A11&amp;" + Line "&amp;A12&amp;""</f>
        <v>Line 200 + Line 201</v>
      </c>
      <c r="G13" s="8">
        <f t="shared" si="0"/>
        <v>202</v>
      </c>
      <c r="J13" s="21"/>
    </row>
    <row r="14" spans="1:10" ht="18" customHeight="1">
      <c r="A14" s="8">
        <f>A13+1</f>
        <v>203</v>
      </c>
      <c r="B14" t="s">
        <v>1265</v>
      </c>
      <c r="D14" s="34">
        <f>'24-Allocators'!$C$24</f>
        <v>0.10327848903946341</v>
      </c>
      <c r="E14" s="34">
        <f>'24-Allocators'!$C$24</f>
        <v>0.10327848903946341</v>
      </c>
      <c r="F14" s="6" t="str">
        <f>CONCATENATE("24-Allocators, Line ",'24-Allocators'!A24)</f>
        <v>24-Allocators, Line 113</v>
      </c>
      <c r="G14" s="8">
        <f t="shared" si="0"/>
        <v>203</v>
      </c>
    </row>
    <row r="15" spans="1:10" ht="18" customHeight="1">
      <c r="A15" s="8">
        <f>A14+1</f>
        <v>204</v>
      </c>
      <c r="B15" s="12" t="s">
        <v>1266</v>
      </c>
      <c r="C15" s="12"/>
      <c r="D15" s="69">
        <f>ROUND(D13*D14,0)</f>
        <v>-30104001</v>
      </c>
      <c r="E15" s="69">
        <f>ROUND(E13*E14,0)</f>
        <v>-32604702</v>
      </c>
      <c r="F15" s="6" t="str">
        <f>"Line "&amp;A13&amp;" * Line "&amp;A14&amp;""</f>
        <v>Line 202 * Line 203</v>
      </c>
      <c r="G15" s="8">
        <f t="shared" si="0"/>
        <v>204</v>
      </c>
    </row>
    <row r="16" spans="1:10" ht="18" customHeight="1">
      <c r="A16" s="8"/>
      <c r="D16" s="22"/>
      <c r="E16" s="22"/>
      <c r="F16" s="6"/>
      <c r="G16" s="8"/>
    </row>
    <row r="17" spans="1:7" ht="18" customHeight="1">
      <c r="A17" s="8"/>
      <c r="F17" s="6"/>
      <c r="G17" s="8"/>
    </row>
    <row r="18" spans="1:7" ht="18" customHeight="1">
      <c r="A18" s="8">
        <f>A15+1</f>
        <v>205</v>
      </c>
      <c r="D18" s="15" t="s">
        <v>1267</v>
      </c>
      <c r="E18" s="69">
        <f>ROUND(AVERAGE(D15:E15),0)</f>
        <v>-31354352</v>
      </c>
      <c r="F18" s="6" t="str">
        <f>CONCATENATE("Average of Line ",A15,", ",D9," and ",E9)</f>
        <v>Average of Line 204, Col 1 and Col 2</v>
      </c>
      <c r="G18" s="8">
        <f>A18</f>
        <v>205</v>
      </c>
    </row>
    <row r="19" spans="1:7" ht="18" customHeight="1">
      <c r="A19" s="8"/>
      <c r="D19" s="15"/>
      <c r="E19" s="354"/>
      <c r="F19" s="30"/>
      <c r="G19" s="8"/>
    </row>
    <row r="20" spans="1:7" ht="18" customHeight="1">
      <c r="B20" s="58" t="s">
        <v>1268</v>
      </c>
      <c r="C20" s="55"/>
      <c r="D20" s="55"/>
      <c r="E20" s="55"/>
      <c r="F20" s="220"/>
    </row>
    <row r="21" spans="1:7" ht="18" customHeight="1">
      <c r="B21" s="12"/>
      <c r="D21" s="8" t="s">
        <v>371</v>
      </c>
      <c r="E21" s="8" t="s">
        <v>372</v>
      </c>
      <c r="F21" s="30"/>
    </row>
    <row r="22" spans="1:7" ht="18" customHeight="1">
      <c r="D22" s="13" t="s">
        <v>1269</v>
      </c>
      <c r="E22" s="13" t="s">
        <v>481</v>
      </c>
      <c r="F22" s="13" t="s">
        <v>135</v>
      </c>
    </row>
    <row r="23" spans="1:7" ht="18" customHeight="1">
      <c r="A23" s="8">
        <v>300</v>
      </c>
      <c r="B23" t="s">
        <v>1270</v>
      </c>
      <c r="D23" s="32">
        <f>-13916317.265*2</f>
        <v>-27832634.530000001</v>
      </c>
      <c r="E23" s="52">
        <f>(-13916317.265*3)+N("former formula was: -'5-CostofCap-4'!E8")</f>
        <v>-41748951.795000002</v>
      </c>
      <c r="F23" s="575" t="str">
        <f>CONCATENATE("Negative 5-CostofCap-4, Line ",'5-CostofCap-4'!A8," (see Note 3)")</f>
        <v>Negative 5-CostofCap-4, Line 102 (see Note 3)</v>
      </c>
      <c r="G23" s="8">
        <f t="shared" ref="G23:G25" si="1">A23</f>
        <v>300</v>
      </c>
    </row>
    <row r="24" spans="1:7" ht="18" customHeight="1">
      <c r="A24" s="8">
        <f>+A23+1</f>
        <v>301</v>
      </c>
      <c r="B24" t="s">
        <v>1271</v>
      </c>
      <c r="D24" s="41">
        <f>+E24</f>
        <v>0.16303308552822116</v>
      </c>
      <c r="E24" s="41">
        <f>+'24-Allocators'!C29</f>
        <v>0.16303308552822116</v>
      </c>
      <c r="F24" s="6" t="str">
        <f>CONCATENATE("24-Allocators, Line ",'24-Allocators'!A29)</f>
        <v>24-Allocators, Line 116</v>
      </c>
      <c r="G24" s="8">
        <f t="shared" si="1"/>
        <v>301</v>
      </c>
    </row>
    <row r="25" spans="1:7" ht="18" customHeight="1">
      <c r="A25" s="8">
        <f>+A24+1</f>
        <v>302</v>
      </c>
      <c r="B25" t="s">
        <v>1272</v>
      </c>
      <c r="D25" s="576">
        <f>+D24*D23</f>
        <v>-4537640.2858052114</v>
      </c>
      <c r="E25" s="576">
        <f>IF(OR('1-BaseTRR'!$G$2=2019,'1-BaseTRR'!$G$2=2020,'1-BaseTRR'!$G$2=2021),+E24*E23,0)</f>
        <v>-6806460.4287078176</v>
      </c>
      <c r="F25" s="6" t="str">
        <f>"Line "&amp;A23&amp;" * Line "&amp;A24&amp;" (see Note 3)"</f>
        <v>Line 300 * Line 301 (see Note 3)</v>
      </c>
      <c r="G25" s="8">
        <f t="shared" si="1"/>
        <v>302</v>
      </c>
    </row>
    <row r="26" spans="1:7" ht="18" customHeight="1">
      <c r="A26" s="8"/>
      <c r="E26" s="12"/>
      <c r="F26" s="6"/>
    </row>
    <row r="27" spans="1:7" ht="18" customHeight="1">
      <c r="A27" s="8">
        <f>+A25+1</f>
        <v>303</v>
      </c>
      <c r="D27" s="15" t="s">
        <v>1267</v>
      </c>
      <c r="E27" s="69">
        <f>ROUND(AVERAGE(D25:E25),0)</f>
        <v>-5672050</v>
      </c>
      <c r="F27" s="6" t="str">
        <f>CONCATENATE("Average of Line ",A25,", ",D21," and ",E21)</f>
        <v>Average of Line 302, Col 1 and Col 2</v>
      </c>
      <c r="G27" s="8">
        <f t="shared" ref="G27" si="2">A27</f>
        <v>303</v>
      </c>
    </row>
    <row r="28" spans="1:7" ht="18" customHeight="1">
      <c r="F28" s="30"/>
    </row>
    <row r="29" spans="1:7" ht="18" customHeight="1">
      <c r="B29" s="58" t="s">
        <v>1273</v>
      </c>
      <c r="C29" s="55"/>
      <c r="D29" s="55"/>
      <c r="E29" s="55"/>
      <c r="F29" s="220"/>
    </row>
    <row r="30" spans="1:7" ht="18" customHeight="1">
      <c r="A30" s="8"/>
      <c r="D30" s="8" t="s">
        <v>371</v>
      </c>
      <c r="E30" s="8" t="s">
        <v>372</v>
      </c>
      <c r="F30" s="6"/>
      <c r="G30" s="8"/>
    </row>
    <row r="31" spans="1:7" ht="18" customHeight="1">
      <c r="A31" s="8"/>
      <c r="D31" s="13" t="s">
        <v>1269</v>
      </c>
      <c r="E31" s="13" t="s">
        <v>481</v>
      </c>
      <c r="F31" s="13" t="s">
        <v>135</v>
      </c>
      <c r="G31" s="8"/>
    </row>
    <row r="32" spans="1:7" ht="18" customHeight="1">
      <c r="A32" s="8">
        <v>400</v>
      </c>
      <c r="B32" t="s">
        <v>1274</v>
      </c>
      <c r="D32" s="670">
        <v>-7366110</v>
      </c>
      <c r="E32" s="52">
        <v>0</v>
      </c>
      <c r="F32" s="6" t="s">
        <v>1275</v>
      </c>
      <c r="G32" s="8">
        <f t="shared" ref="G32" si="3">A32</f>
        <v>400</v>
      </c>
    </row>
    <row r="33" spans="1:10" ht="18" customHeight="1">
      <c r="A33" s="8"/>
      <c r="D33" s="15"/>
      <c r="E33" s="24"/>
      <c r="F33" s="6"/>
      <c r="G33" s="8"/>
    </row>
    <row r="34" spans="1:10" ht="18" customHeight="1">
      <c r="A34" s="8">
        <f>+A32+1</f>
        <v>401</v>
      </c>
      <c r="D34" s="15" t="s">
        <v>1267</v>
      </c>
      <c r="E34" s="24">
        <f>ROUND(AVERAGE(D32:E32),0)</f>
        <v>-3683055</v>
      </c>
      <c r="F34" s="6" t="str">
        <f>CONCATENATE("Average of Line ",A32,"")</f>
        <v>Average of Line 400</v>
      </c>
      <c r="G34" s="8">
        <f>A34</f>
        <v>401</v>
      </c>
    </row>
    <row r="35" spans="1:10" ht="18" customHeight="1">
      <c r="A35" s="8"/>
      <c r="D35" s="15"/>
      <c r="E35" s="24"/>
      <c r="F35" s="6"/>
      <c r="G35" s="8"/>
    </row>
    <row r="36" spans="1:10" ht="18" customHeight="1">
      <c r="B36" s="58" t="s">
        <v>1276</v>
      </c>
      <c r="C36" s="55"/>
      <c r="D36" s="55"/>
      <c r="E36" s="55"/>
      <c r="F36" s="220"/>
    </row>
    <row r="37" spans="1:10" ht="18" customHeight="1">
      <c r="B37" s="12"/>
      <c r="D37" s="8" t="s">
        <v>371</v>
      </c>
      <c r="E37" s="8" t="s">
        <v>372</v>
      </c>
      <c r="F37" s="30"/>
    </row>
    <row r="38" spans="1:10" ht="18" customHeight="1">
      <c r="A38" s="8"/>
      <c r="D38" s="13" t="s">
        <v>1269</v>
      </c>
      <c r="E38" s="13" t="s">
        <v>481</v>
      </c>
      <c r="F38" s="13" t="s">
        <v>135</v>
      </c>
      <c r="G38" s="8"/>
    </row>
    <row r="39" spans="1:10" ht="18" customHeight="1">
      <c r="A39" s="8">
        <v>500</v>
      </c>
      <c r="B39" t="s">
        <v>1118</v>
      </c>
      <c r="D39" s="670">
        <v>-203090530</v>
      </c>
      <c r="E39" s="52">
        <v>-674113891</v>
      </c>
      <c r="F39" s="2" t="s">
        <v>1277</v>
      </c>
      <c r="G39" s="8">
        <f t="shared" ref="G39:G41" si="4">A39</f>
        <v>500</v>
      </c>
      <c r="J39" s="33"/>
    </row>
    <row r="40" spans="1:10" ht="18" customHeight="1">
      <c r="A40" s="8">
        <f t="shared" ref="A40:A41" si="5">+A39+1</f>
        <v>501</v>
      </c>
      <c r="B40" t="s">
        <v>1278</v>
      </c>
      <c r="D40" s="672">
        <f>'24-Allocators'!$C$56</f>
        <v>0.12718032763496651</v>
      </c>
      <c r="E40" s="672">
        <f>'24-Allocators'!$C$56</f>
        <v>0.12718032763496651</v>
      </c>
      <c r="F40" s="6" t="str">
        <f>CONCATENATE("24-Allocators, Line ",'24-Allocators'!A56)</f>
        <v>24-Allocators, Line 135</v>
      </c>
      <c r="G40" s="8">
        <f t="shared" si="4"/>
        <v>501</v>
      </c>
      <c r="J40" s="33"/>
    </row>
    <row r="41" spans="1:10" ht="18" customHeight="1">
      <c r="A41" s="8">
        <f t="shared" si="5"/>
        <v>502</v>
      </c>
      <c r="B41" t="s">
        <v>1279</v>
      </c>
      <c r="D41" s="671">
        <f>D39*D40</f>
        <v>-25829120.144958995</v>
      </c>
      <c r="E41" s="673">
        <f>+E40*E39</f>
        <v>-85734025.520662099</v>
      </c>
      <c r="F41" s="6" t="str">
        <f>"Line "&amp;A39&amp;" * Line "&amp;A40&amp;" (see Note 5)"</f>
        <v>Line 500 * Line 501 (see Note 5)</v>
      </c>
      <c r="G41" s="8">
        <f t="shared" si="4"/>
        <v>502</v>
      </c>
      <c r="J41" s="33"/>
    </row>
    <row r="42" spans="1:10" ht="18" customHeight="1">
      <c r="A42" s="8"/>
      <c r="D42" s="15"/>
      <c r="E42" s="24"/>
      <c r="F42" s="6"/>
      <c r="G42" s="8"/>
      <c r="J42" s="21"/>
    </row>
    <row r="43" spans="1:10" ht="18" customHeight="1">
      <c r="A43" s="8">
        <f>+A41+1</f>
        <v>503</v>
      </c>
      <c r="D43" s="15" t="s">
        <v>1267</v>
      </c>
      <c r="E43" s="24">
        <f>ROUND(AVERAGE(D41:E41),0)</f>
        <v>-55781573</v>
      </c>
      <c r="F43" s="6" t="str">
        <f>CONCATENATE("Average of Line ",A41,", ",D37," and ",E37)</f>
        <v>Average of Line 502, Col 1 and Col 2</v>
      </c>
      <c r="G43" s="8">
        <f t="shared" ref="G43" si="6">A43</f>
        <v>503</v>
      </c>
    </row>
    <row r="44" spans="1:10" ht="18" customHeight="1">
      <c r="A44" s="8"/>
      <c r="D44" s="15"/>
      <c r="E44" s="24"/>
      <c r="F44" s="6"/>
      <c r="G44" s="8"/>
    </row>
    <row r="45" spans="1:10" ht="18" customHeight="1">
      <c r="B45" s="58" t="s">
        <v>1280</v>
      </c>
      <c r="C45" s="55"/>
      <c r="D45" s="55"/>
      <c r="E45" s="55"/>
      <c r="F45" s="220"/>
    </row>
    <row r="46" spans="1:10" ht="18" customHeight="1">
      <c r="B46" s="12"/>
      <c r="D46" s="8" t="s">
        <v>371</v>
      </c>
      <c r="E46" s="8" t="s">
        <v>372</v>
      </c>
      <c r="F46" s="30"/>
    </row>
    <row r="47" spans="1:10" ht="18" customHeight="1">
      <c r="B47" s="12"/>
      <c r="D47" s="13" t="s">
        <v>1269</v>
      </c>
      <c r="E47" s="13" t="s">
        <v>481</v>
      </c>
      <c r="F47" s="13" t="s">
        <v>135</v>
      </c>
    </row>
    <row r="48" spans="1:10" ht="18" customHeight="1">
      <c r="A48" s="8">
        <v>600</v>
      </c>
      <c r="B48" t="s">
        <v>1281</v>
      </c>
      <c r="D48" s="810">
        <v>-2148189</v>
      </c>
      <c r="E48" s="810">
        <v>-581360</v>
      </c>
      <c r="F48" s="2" t="s">
        <v>1282</v>
      </c>
      <c r="G48" s="8">
        <f t="shared" ref="G48:G50" si="7">A48</f>
        <v>600</v>
      </c>
    </row>
    <row r="49" spans="1:7" ht="18" customHeight="1">
      <c r="A49" s="8">
        <f t="shared" ref="A49:A50" si="8">+A48+1</f>
        <v>601</v>
      </c>
      <c r="B49" t="s">
        <v>1265</v>
      </c>
      <c r="D49" s="672">
        <f>'24-Allocators'!$C$24</f>
        <v>0.10327848903946341</v>
      </c>
      <c r="E49" s="672">
        <f>'24-Allocators'!$C$24</f>
        <v>0.10327848903946341</v>
      </c>
      <c r="F49" s="6" t="str">
        <f>CONCATENATE("24-Allocators, Line ",'24-Allocators'!A24)</f>
        <v>24-Allocators, Line 113</v>
      </c>
      <c r="G49" s="8">
        <f t="shared" si="7"/>
        <v>601</v>
      </c>
    </row>
    <row r="50" spans="1:7" ht="18" customHeight="1">
      <c r="A50" s="8">
        <f t="shared" si="8"/>
        <v>602</v>
      </c>
      <c r="B50" t="s">
        <v>1279</v>
      </c>
      <c r="D50" s="671">
        <f>D48*D49</f>
        <v>-221861.71409119584</v>
      </c>
      <c r="E50" s="673">
        <f>+E49*E48</f>
        <v>-60041.982387982447</v>
      </c>
      <c r="F50" s="6" t="str">
        <f>"Line "&amp;A48&amp;" * Line "&amp;A49&amp;" (see Note 6)"</f>
        <v>Line 600 * Line 601 (see Note 6)</v>
      </c>
      <c r="G50" s="8">
        <f t="shared" si="7"/>
        <v>602</v>
      </c>
    </row>
    <row r="51" spans="1:7" ht="18" customHeight="1">
      <c r="A51" s="8"/>
      <c r="D51" s="15"/>
      <c r="E51" s="24"/>
      <c r="F51" s="6"/>
      <c r="G51" s="8"/>
    </row>
    <row r="52" spans="1:7">
      <c r="A52" s="8">
        <f>+A50+1</f>
        <v>603</v>
      </c>
      <c r="D52" s="15" t="s">
        <v>1267</v>
      </c>
      <c r="E52" s="24">
        <f>ROUND(AVERAGE(D50:E50),0)</f>
        <v>-140952</v>
      </c>
      <c r="F52" s="6" t="str">
        <f>CONCATENATE("Average of Line ",A50,", ",D46," and ",E46)</f>
        <v>Average of Line 602, Col 1 and Col 2</v>
      </c>
      <c r="G52" s="8">
        <f t="shared" ref="G52" si="9">A52</f>
        <v>603</v>
      </c>
    </row>
    <row r="53" spans="1:7">
      <c r="A53" s="8"/>
      <c r="D53" s="15"/>
      <c r="E53" s="24"/>
      <c r="F53" s="6"/>
      <c r="G53" s="8"/>
    </row>
    <row r="54" spans="1:7">
      <c r="A54" s="8"/>
      <c r="D54" s="15"/>
      <c r="E54" s="24"/>
      <c r="F54" s="6"/>
      <c r="G54" s="8"/>
    </row>
    <row r="55" spans="1:7" ht="15" customHeight="1">
      <c r="B55" s="853" t="s">
        <v>1283</v>
      </c>
      <c r="C55" s="853"/>
      <c r="D55" s="853"/>
      <c r="E55" s="853"/>
      <c r="F55" s="853"/>
    </row>
    <row r="56" spans="1:7">
      <c r="B56" s="853"/>
      <c r="C56" s="853"/>
      <c r="D56" s="853"/>
      <c r="E56" s="853"/>
      <c r="F56" s="853"/>
    </row>
    <row r="57" spans="1:7">
      <c r="B57" s="308"/>
      <c r="C57" s="308"/>
      <c r="D57" s="308"/>
      <c r="E57" s="308"/>
      <c r="F57" s="308"/>
    </row>
    <row r="58" spans="1:7" ht="15" customHeight="1">
      <c r="B58" s="840" t="s">
        <v>1284</v>
      </c>
      <c r="C58" s="840"/>
      <c r="D58" s="840"/>
      <c r="E58" s="840"/>
      <c r="F58" s="840"/>
    </row>
    <row r="59" spans="1:7">
      <c r="B59" s="840"/>
      <c r="C59" s="840"/>
      <c r="D59" s="840"/>
      <c r="E59" s="840"/>
      <c r="F59" s="840"/>
    </row>
    <row r="60" spans="1:7">
      <c r="B60" s="840"/>
      <c r="C60" s="840"/>
      <c r="D60" s="840"/>
      <c r="E60" s="840"/>
      <c r="F60" s="840"/>
    </row>
    <row r="61" spans="1:7">
      <c r="B61" s="308"/>
      <c r="C61" s="308"/>
      <c r="D61" s="308"/>
      <c r="E61" s="308"/>
      <c r="F61" s="308"/>
    </row>
    <row r="62" spans="1:7" ht="15" customHeight="1">
      <c r="B62" s="854" t="s">
        <v>1285</v>
      </c>
      <c r="C62" s="854"/>
      <c r="D62" s="854"/>
      <c r="E62" s="854"/>
      <c r="F62" s="854"/>
    </row>
    <row r="63" spans="1:7">
      <c r="B63" s="854"/>
      <c r="C63" s="854"/>
      <c r="D63" s="854"/>
      <c r="E63" s="854"/>
      <c r="F63" s="854"/>
    </row>
    <row r="64" spans="1:7">
      <c r="B64" s="854"/>
      <c r="C64" s="854"/>
      <c r="D64" s="854"/>
      <c r="E64" s="854"/>
      <c r="F64" s="854"/>
    </row>
    <row r="65" spans="2:6">
      <c r="B65" s="854"/>
      <c r="C65" s="854"/>
      <c r="D65" s="854"/>
      <c r="E65" s="854"/>
      <c r="F65" s="854"/>
    </row>
    <row r="66" spans="2:6">
      <c r="B66" s="17"/>
      <c r="C66" s="17"/>
      <c r="D66" s="17"/>
      <c r="E66" s="17"/>
      <c r="F66" s="17"/>
    </row>
    <row r="67" spans="2:6" ht="15" customHeight="1">
      <c r="B67" s="840" t="s">
        <v>1286</v>
      </c>
      <c r="C67" s="840"/>
      <c r="D67" s="840"/>
      <c r="E67" s="840"/>
      <c r="F67" s="840"/>
    </row>
    <row r="68" spans="2:6">
      <c r="B68" s="840"/>
      <c r="C68" s="840"/>
      <c r="D68" s="840"/>
      <c r="E68" s="840"/>
      <c r="F68" s="840"/>
    </row>
    <row r="69" spans="2:6">
      <c r="B69" s="840"/>
      <c r="C69" s="840"/>
      <c r="D69" s="840"/>
      <c r="E69" s="840"/>
      <c r="F69" s="840"/>
    </row>
    <row r="70" spans="2:6">
      <c r="B70" s="840"/>
      <c r="C70" s="840"/>
      <c r="D70" s="840"/>
      <c r="E70" s="840"/>
      <c r="F70" s="840"/>
    </row>
    <row r="71" spans="2:6">
      <c r="B71" s="17"/>
      <c r="C71" s="17"/>
      <c r="D71" s="17"/>
      <c r="E71" s="17"/>
      <c r="F71" s="17"/>
    </row>
    <row r="72" spans="2:6" ht="15" customHeight="1">
      <c r="B72" s="840" t="s">
        <v>1287</v>
      </c>
      <c r="C72" s="840"/>
      <c r="D72" s="840"/>
      <c r="E72" s="840"/>
      <c r="F72" s="840"/>
    </row>
    <row r="73" spans="2:6">
      <c r="B73" s="840"/>
      <c r="C73" s="840"/>
      <c r="D73" s="840"/>
      <c r="E73" s="840"/>
      <c r="F73" s="840"/>
    </row>
    <row r="74" spans="2:6">
      <c r="B74" s="840"/>
      <c r="C74" s="840"/>
      <c r="D74" s="840"/>
      <c r="E74" s="840"/>
      <c r="F74" s="840"/>
    </row>
    <row r="144" spans="11:11">
      <c r="K144" t="e">
        <f>E30/E144*E151</f>
        <v>#VALUE!</v>
      </c>
    </row>
    <row r="160" spans="10:10">
      <c r="J160">
        <f>E160-D160</f>
        <v>0</v>
      </c>
    </row>
  </sheetData>
  <mergeCells count="5">
    <mergeCell ref="B55:F56"/>
    <mergeCell ref="B67:F70"/>
    <mergeCell ref="B72:F74"/>
    <mergeCell ref="B58:F60"/>
    <mergeCell ref="B62:F65"/>
  </mergeCells>
  <printOptions horizontalCentered="1"/>
  <pageMargins left="1" right="1" top="1" bottom="1" header="0.5" footer="0.5"/>
  <pageSetup scale="51"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77B35-AD59-49F9-B848-AD7893E4EB9B}">
  <sheetPr>
    <tabColor rgb="FFC00000"/>
    <pageSetUpPr fitToPage="1"/>
  </sheetPr>
  <dimension ref="A1:K160"/>
  <sheetViews>
    <sheetView tabSelected="1" view="pageBreakPreview" topLeftCell="A30" zoomScale="70" zoomScaleNormal="85" zoomScaleSheetLayoutView="70" workbookViewId="0">
      <selection activeCell="E174" sqref="E174"/>
    </sheetView>
  </sheetViews>
  <sheetFormatPr defaultColWidth="9.1796875" defaultRowHeight="14.5"/>
  <cols>
    <col min="1" max="1" width="6.7265625" bestFit="1" customWidth="1"/>
    <col min="2" max="2" width="47.1796875" customWidth="1"/>
    <col min="3" max="3" width="4.453125" customWidth="1"/>
    <col min="4" max="4" width="22.7265625" customWidth="1"/>
    <col min="5" max="5" width="21.453125" customWidth="1"/>
    <col min="6" max="6" width="57.26953125" bestFit="1" customWidth="1"/>
    <col min="7" max="7" width="7" bestFit="1" customWidth="1"/>
    <col min="8" max="9" width="9.1796875" customWidth="1"/>
    <col min="10" max="10" width="13.453125" customWidth="1"/>
    <col min="11" max="11" width="25.1796875" customWidth="1"/>
  </cols>
  <sheetData>
    <row r="1" spans="1:10">
      <c r="B1" s="12" t="s">
        <v>44</v>
      </c>
      <c r="F1" s="15" t="s">
        <v>2055</v>
      </c>
    </row>
    <row r="2" spans="1:10">
      <c r="B2" s="119" t="s">
        <v>131</v>
      </c>
      <c r="F2" s="15"/>
    </row>
    <row r="3" spans="1:10">
      <c r="B3" s="144"/>
      <c r="D3" s="8" t="s">
        <v>371</v>
      </c>
      <c r="E3" s="8" t="s">
        <v>372</v>
      </c>
      <c r="F3" s="13" t="s">
        <v>135</v>
      </c>
    </row>
    <row r="4" spans="1:10">
      <c r="A4" s="13" t="s">
        <v>100</v>
      </c>
      <c r="B4" s="58" t="s">
        <v>1254</v>
      </c>
      <c r="C4" s="55"/>
      <c r="D4" s="55"/>
      <c r="E4" s="55"/>
      <c r="F4" s="55"/>
      <c r="G4" s="13" t="s">
        <v>100</v>
      </c>
    </row>
    <row r="5" spans="1:10">
      <c r="A5" s="8">
        <v>100</v>
      </c>
      <c r="B5" s="6" t="s">
        <v>1255</v>
      </c>
      <c r="E5" s="69">
        <v>-96615214</v>
      </c>
      <c r="F5" s="6" t="s">
        <v>1256</v>
      </c>
      <c r="G5" s="8">
        <v>100</v>
      </c>
    </row>
    <row r="6" spans="1:10">
      <c r="A6" s="8">
        <v>101</v>
      </c>
      <c r="B6" s="6" t="s">
        <v>1257</v>
      </c>
      <c r="E6" s="69">
        <v>-125291172.50674115</v>
      </c>
      <c r="F6" s="6" t="s">
        <v>1258</v>
      </c>
      <c r="G6" s="8">
        <v>101</v>
      </c>
    </row>
    <row r="7" spans="1:10">
      <c r="B7" s="144"/>
    </row>
    <row r="8" spans="1:10">
      <c r="B8" s="58" t="s">
        <v>1259</v>
      </c>
      <c r="C8" s="55"/>
      <c r="D8" s="55"/>
      <c r="E8" s="55"/>
      <c r="F8" s="55"/>
    </row>
    <row r="9" spans="1:10">
      <c r="D9" s="13" t="s">
        <v>371</v>
      </c>
      <c r="E9" s="13" t="s">
        <v>372</v>
      </c>
      <c r="F9" s="30"/>
    </row>
    <row r="10" spans="1:10" ht="24" customHeight="1">
      <c r="A10" s="13" t="s">
        <v>100</v>
      </c>
      <c r="B10" s="13" t="s">
        <v>6</v>
      </c>
      <c r="C10" s="13"/>
      <c r="D10" s="169" t="s">
        <v>1260</v>
      </c>
      <c r="E10" s="13" t="s">
        <v>1261</v>
      </c>
      <c r="F10" s="13" t="s">
        <v>135</v>
      </c>
      <c r="G10" s="13" t="s">
        <v>100</v>
      </c>
    </row>
    <row r="11" spans="1:10" ht="18" customHeight="1">
      <c r="A11" s="8">
        <v>200</v>
      </c>
      <c r="B11" t="s">
        <v>1262</v>
      </c>
      <c r="D11" s="52">
        <v>-337183744.5</v>
      </c>
      <c r="E11" s="52">
        <v>-361396927.81</v>
      </c>
      <c r="F11" s="2" t="s">
        <v>111</v>
      </c>
      <c r="G11" s="8">
        <v>200</v>
      </c>
    </row>
    <row r="12" spans="1:10" ht="18" customHeight="1">
      <c r="A12" s="8">
        <v>201</v>
      </c>
      <c r="B12" t="s">
        <v>1263</v>
      </c>
      <c r="D12" s="26">
        <v>45700000</v>
      </c>
      <c r="E12" s="26">
        <v>45700000</v>
      </c>
      <c r="F12" s="2" t="s">
        <v>203</v>
      </c>
      <c r="G12" s="8">
        <v>201</v>
      </c>
    </row>
    <row r="13" spans="1:10" ht="18" customHeight="1">
      <c r="A13" s="8">
        <v>202</v>
      </c>
      <c r="B13" t="s">
        <v>1264</v>
      </c>
      <c r="D13" s="32">
        <v>-291483744.5</v>
      </c>
      <c r="E13" s="32">
        <v>-315696927.81</v>
      </c>
      <c r="F13" s="6" t="s">
        <v>2113</v>
      </c>
      <c r="G13" s="8">
        <v>202</v>
      </c>
      <c r="J13" s="21"/>
    </row>
    <row r="14" spans="1:10" ht="18" customHeight="1">
      <c r="A14" s="8">
        <v>203</v>
      </c>
      <c r="B14" t="s">
        <v>1265</v>
      </c>
      <c r="D14" s="34">
        <v>0.10327848903946341</v>
      </c>
      <c r="E14" s="34">
        <v>0.10327848903946341</v>
      </c>
      <c r="F14" s="6" t="s">
        <v>2114</v>
      </c>
      <c r="G14" s="8">
        <v>203</v>
      </c>
    </row>
    <row r="15" spans="1:10" ht="18" customHeight="1">
      <c r="A15" s="8">
        <v>204</v>
      </c>
      <c r="B15" s="12" t="s">
        <v>1266</v>
      </c>
      <c r="C15" s="12"/>
      <c r="D15" s="69">
        <v>-30104001</v>
      </c>
      <c r="E15" s="69">
        <v>-32604702</v>
      </c>
      <c r="F15" s="6" t="s">
        <v>2115</v>
      </c>
      <c r="G15" s="8">
        <v>204</v>
      </c>
    </row>
    <row r="16" spans="1:10" ht="18" customHeight="1">
      <c r="A16" s="8"/>
      <c r="D16" s="22"/>
      <c r="E16" s="22"/>
      <c r="F16" s="6"/>
      <c r="G16" s="8"/>
    </row>
    <row r="17" spans="1:7" ht="18" customHeight="1">
      <c r="A17" s="8"/>
      <c r="F17" s="6"/>
      <c r="G17" s="8"/>
    </row>
    <row r="18" spans="1:7" ht="18" customHeight="1">
      <c r="A18" s="8">
        <v>205</v>
      </c>
      <c r="D18" s="15" t="s">
        <v>1267</v>
      </c>
      <c r="E18" s="69">
        <v>-31354352</v>
      </c>
      <c r="F18" s="6" t="s">
        <v>2116</v>
      </c>
      <c r="G18" s="8">
        <v>205</v>
      </c>
    </row>
    <row r="19" spans="1:7" ht="18" customHeight="1">
      <c r="A19" s="8"/>
      <c r="D19" s="15"/>
      <c r="E19" s="354"/>
      <c r="F19" s="30"/>
      <c r="G19" s="8"/>
    </row>
    <row r="20" spans="1:7" ht="18" customHeight="1">
      <c r="B20" s="58" t="s">
        <v>1268</v>
      </c>
      <c r="C20" s="55"/>
      <c r="D20" s="55"/>
      <c r="E20" s="55"/>
      <c r="F20" s="220"/>
    </row>
    <row r="21" spans="1:7" ht="18" customHeight="1">
      <c r="B21" s="12"/>
      <c r="D21" s="8" t="s">
        <v>371</v>
      </c>
      <c r="E21" s="8" t="s">
        <v>372</v>
      </c>
      <c r="F21" s="30"/>
    </row>
    <row r="22" spans="1:7" ht="18" customHeight="1">
      <c r="D22" s="13" t="s">
        <v>1269</v>
      </c>
      <c r="E22" s="13" t="s">
        <v>481</v>
      </c>
      <c r="F22" s="13" t="s">
        <v>135</v>
      </c>
    </row>
    <row r="23" spans="1:7" ht="18" customHeight="1">
      <c r="A23" s="8">
        <v>300</v>
      </c>
      <c r="B23" t="s">
        <v>1270</v>
      </c>
      <c r="D23" s="32">
        <v>-27832634.530000001</v>
      </c>
      <c r="E23" s="52">
        <v>-41748951.795000002</v>
      </c>
      <c r="F23" s="575" t="s">
        <v>2117</v>
      </c>
      <c r="G23" s="8">
        <v>300</v>
      </c>
    </row>
    <row r="24" spans="1:7" ht="18" customHeight="1">
      <c r="A24" s="8">
        <v>301</v>
      </c>
      <c r="B24" t="s">
        <v>1271</v>
      </c>
      <c r="D24" s="41">
        <v>0.16303308552822116</v>
      </c>
      <c r="E24" s="41">
        <v>0.16303308552822116</v>
      </c>
      <c r="F24" s="6" t="s">
        <v>2118</v>
      </c>
      <c r="G24" s="8">
        <v>301</v>
      </c>
    </row>
    <row r="25" spans="1:7" ht="18" customHeight="1">
      <c r="A25" s="8">
        <v>302</v>
      </c>
      <c r="B25" t="s">
        <v>1272</v>
      </c>
      <c r="D25" s="576">
        <v>-4537640.2858052114</v>
      </c>
      <c r="E25" s="576">
        <v>-6806460.4287078176</v>
      </c>
      <c r="F25" s="6" t="s">
        <v>2119</v>
      </c>
      <c r="G25" s="8">
        <v>302</v>
      </c>
    </row>
    <row r="26" spans="1:7" ht="18" customHeight="1">
      <c r="A26" s="8"/>
      <c r="E26" s="12"/>
      <c r="F26" s="6"/>
    </row>
    <row r="27" spans="1:7" ht="18" customHeight="1">
      <c r="A27" s="8">
        <v>303</v>
      </c>
      <c r="D27" s="15" t="s">
        <v>1267</v>
      </c>
      <c r="E27" s="69">
        <v>-5672050</v>
      </c>
      <c r="F27" s="6" t="s">
        <v>2120</v>
      </c>
      <c r="G27" s="8">
        <v>303</v>
      </c>
    </row>
    <row r="28" spans="1:7" ht="18" customHeight="1">
      <c r="F28" s="30"/>
    </row>
    <row r="29" spans="1:7" ht="18" customHeight="1">
      <c r="B29" s="58" t="s">
        <v>1273</v>
      </c>
      <c r="C29" s="55"/>
      <c r="D29" s="55"/>
      <c r="E29" s="55"/>
      <c r="F29" s="220"/>
    </row>
    <row r="30" spans="1:7" ht="18" customHeight="1">
      <c r="A30" s="8"/>
      <c r="D30" s="8" t="s">
        <v>371</v>
      </c>
      <c r="E30" s="8" t="s">
        <v>372</v>
      </c>
      <c r="F30" s="6"/>
      <c r="G30" s="8"/>
    </row>
    <row r="31" spans="1:7" ht="18" customHeight="1">
      <c r="A31" s="8"/>
      <c r="D31" s="13" t="s">
        <v>1269</v>
      </c>
      <c r="E31" s="13" t="s">
        <v>481</v>
      </c>
      <c r="F31" s="13" t="s">
        <v>135</v>
      </c>
      <c r="G31" s="8"/>
    </row>
    <row r="32" spans="1:7" ht="18" customHeight="1">
      <c r="A32" s="8">
        <v>400</v>
      </c>
      <c r="B32" t="s">
        <v>1274</v>
      </c>
      <c r="D32" s="670">
        <v>-7366110</v>
      </c>
      <c r="E32" s="52">
        <v>0</v>
      </c>
      <c r="F32" s="6" t="s">
        <v>1275</v>
      </c>
      <c r="G32" s="8">
        <v>400</v>
      </c>
    </row>
    <row r="33" spans="1:10" ht="18" customHeight="1">
      <c r="A33" s="8"/>
      <c r="D33" s="15"/>
      <c r="E33" s="24"/>
      <c r="F33" s="6"/>
      <c r="G33" s="8"/>
    </row>
    <row r="34" spans="1:10" ht="18" customHeight="1">
      <c r="A34" s="8">
        <v>401</v>
      </c>
      <c r="D34" s="15" t="s">
        <v>1267</v>
      </c>
      <c r="E34" s="24">
        <v>-3683055</v>
      </c>
      <c r="F34" s="6" t="s">
        <v>2121</v>
      </c>
      <c r="G34" s="8">
        <v>401</v>
      </c>
    </row>
    <row r="35" spans="1:10" ht="18" customHeight="1">
      <c r="A35" s="8"/>
      <c r="D35" s="15"/>
      <c r="E35" s="24"/>
      <c r="F35" s="6"/>
      <c r="G35" s="8"/>
    </row>
    <row r="36" spans="1:10" ht="18" customHeight="1">
      <c r="B36" s="58" t="s">
        <v>1276</v>
      </c>
      <c r="C36" s="55"/>
      <c r="D36" s="55"/>
      <c r="E36" s="55"/>
      <c r="F36" s="220"/>
    </row>
    <row r="37" spans="1:10" ht="18" customHeight="1">
      <c r="B37" s="12"/>
      <c r="D37" s="8" t="s">
        <v>371</v>
      </c>
      <c r="E37" s="8" t="s">
        <v>372</v>
      </c>
      <c r="F37" s="30"/>
    </row>
    <row r="38" spans="1:10" ht="18" customHeight="1">
      <c r="A38" s="8"/>
      <c r="D38" s="13" t="s">
        <v>1269</v>
      </c>
      <c r="E38" s="13" t="s">
        <v>481</v>
      </c>
      <c r="F38" s="13" t="s">
        <v>135</v>
      </c>
      <c r="G38" s="8"/>
    </row>
    <row r="39" spans="1:10" ht="18" customHeight="1">
      <c r="A39" s="8">
        <v>500</v>
      </c>
      <c r="B39" t="s">
        <v>1118</v>
      </c>
      <c r="D39" s="670">
        <v>-203090530</v>
      </c>
      <c r="E39" s="52">
        <v>-674113891</v>
      </c>
      <c r="F39" s="2" t="s">
        <v>1277</v>
      </c>
      <c r="G39" s="8">
        <v>500</v>
      </c>
      <c r="J39" s="33"/>
    </row>
    <row r="40" spans="1:10" ht="18" customHeight="1">
      <c r="A40" s="8">
        <v>501</v>
      </c>
      <c r="B40" t="s">
        <v>1278</v>
      </c>
      <c r="D40" s="672">
        <v>0.12718032763496651</v>
      </c>
      <c r="E40" s="672">
        <v>0.12718032763496651</v>
      </c>
      <c r="F40" s="6" t="s">
        <v>2122</v>
      </c>
      <c r="G40" s="8">
        <v>501</v>
      </c>
      <c r="J40" s="33"/>
    </row>
    <row r="41" spans="1:10" ht="18" customHeight="1">
      <c r="A41" s="8">
        <v>502</v>
      </c>
      <c r="B41" t="s">
        <v>1279</v>
      </c>
      <c r="D41" s="671">
        <v>-25829120.144958995</v>
      </c>
      <c r="E41" s="673">
        <v>-85734025.520662099</v>
      </c>
      <c r="F41" s="6" t="s">
        <v>2123</v>
      </c>
      <c r="G41" s="8">
        <v>502</v>
      </c>
      <c r="J41" s="33"/>
    </row>
    <row r="42" spans="1:10" ht="18" customHeight="1">
      <c r="A42" s="8"/>
      <c r="D42" s="15"/>
      <c r="E42" s="24"/>
      <c r="F42" s="6"/>
      <c r="G42" s="8"/>
      <c r="J42" s="21"/>
    </row>
    <row r="43" spans="1:10" ht="18" customHeight="1">
      <c r="A43" s="8">
        <v>503</v>
      </c>
      <c r="D43" s="15" t="s">
        <v>1267</v>
      </c>
      <c r="E43" s="24">
        <v>-55781573</v>
      </c>
      <c r="F43" s="6" t="s">
        <v>2124</v>
      </c>
      <c r="G43" s="8">
        <v>503</v>
      </c>
    </row>
    <row r="44" spans="1:10" ht="18" customHeight="1">
      <c r="A44" s="8"/>
      <c r="D44" s="15"/>
      <c r="E44" s="24"/>
      <c r="F44" s="6"/>
      <c r="G44" s="8"/>
    </row>
    <row r="45" spans="1:10" ht="18" customHeight="1">
      <c r="B45" s="58" t="s">
        <v>1280</v>
      </c>
      <c r="C45" s="55"/>
      <c r="D45" s="55"/>
      <c r="E45" s="55"/>
      <c r="F45" s="220"/>
    </row>
    <row r="46" spans="1:10" ht="18" customHeight="1">
      <c r="B46" s="12"/>
      <c r="D46" s="8" t="s">
        <v>371</v>
      </c>
      <c r="E46" s="8" t="s">
        <v>372</v>
      </c>
      <c r="F46" s="30"/>
    </row>
    <row r="47" spans="1:10" ht="18" customHeight="1">
      <c r="B47" s="12"/>
      <c r="D47" s="13" t="s">
        <v>1269</v>
      </c>
      <c r="E47" s="13" t="s">
        <v>481</v>
      </c>
      <c r="F47" s="13" t="s">
        <v>135</v>
      </c>
    </row>
    <row r="48" spans="1:10" ht="18" customHeight="1">
      <c r="A48" s="8">
        <v>600</v>
      </c>
      <c r="B48" t="s">
        <v>1281</v>
      </c>
      <c r="D48" s="670">
        <v>-991333</v>
      </c>
      <c r="E48" s="52">
        <v>-1413504</v>
      </c>
      <c r="F48" s="2" t="s">
        <v>1282</v>
      </c>
      <c r="G48" s="8">
        <v>600</v>
      </c>
    </row>
    <row r="49" spans="1:7" ht="18" customHeight="1">
      <c r="A49" s="8">
        <v>601</v>
      </c>
      <c r="B49" t="s">
        <v>1265</v>
      </c>
      <c r="D49" s="672">
        <v>0.10327848903946341</v>
      </c>
      <c r="E49" s="672">
        <v>0.10327848903946341</v>
      </c>
      <c r="F49" s="6" t="s">
        <v>2114</v>
      </c>
      <c r="G49" s="8">
        <v>601</v>
      </c>
    </row>
    <row r="50" spans="1:7" ht="18" customHeight="1">
      <c r="A50" s="8">
        <v>602</v>
      </c>
      <c r="B50" t="s">
        <v>1279</v>
      </c>
      <c r="D50" s="671">
        <v>-102383.37437495838</v>
      </c>
      <c r="E50" s="673">
        <v>-145984.55737123769</v>
      </c>
      <c r="F50" s="6" t="s">
        <v>2125</v>
      </c>
      <c r="G50" s="8">
        <v>602</v>
      </c>
    </row>
    <row r="51" spans="1:7" ht="18" customHeight="1">
      <c r="A51" s="8"/>
      <c r="D51" s="15"/>
      <c r="E51" s="24"/>
      <c r="F51" s="6"/>
      <c r="G51" s="8"/>
    </row>
    <row r="52" spans="1:7">
      <c r="A52" s="8">
        <v>603</v>
      </c>
      <c r="D52" s="15" t="s">
        <v>1267</v>
      </c>
      <c r="E52" s="24">
        <v>-124184</v>
      </c>
      <c r="F52" s="6" t="s">
        <v>2126</v>
      </c>
      <c r="G52" s="8">
        <v>603</v>
      </c>
    </row>
    <row r="53" spans="1:7">
      <c r="A53" s="8"/>
      <c r="D53" s="15"/>
      <c r="E53" s="24"/>
      <c r="F53" s="6"/>
      <c r="G53" s="8"/>
    </row>
    <row r="54" spans="1:7">
      <c r="A54" s="8"/>
      <c r="D54" s="15"/>
      <c r="E54" s="24"/>
      <c r="F54" s="6"/>
      <c r="G54" s="8"/>
    </row>
    <row r="55" spans="1:7" ht="15" customHeight="1">
      <c r="B55" s="853" t="s">
        <v>1283</v>
      </c>
      <c r="C55" s="853"/>
      <c r="D55" s="853"/>
      <c r="E55" s="853"/>
      <c r="F55" s="853"/>
    </row>
    <row r="56" spans="1:7">
      <c r="B56" s="853"/>
      <c r="C56" s="853"/>
      <c r="D56" s="853"/>
      <c r="E56" s="853"/>
      <c r="F56" s="853"/>
    </row>
    <row r="57" spans="1:7">
      <c r="B57" s="308"/>
      <c r="C57" s="308"/>
      <c r="D57" s="308"/>
      <c r="E57" s="308"/>
      <c r="F57" s="308"/>
    </row>
    <row r="58" spans="1:7" ht="15" customHeight="1">
      <c r="B58" s="840" t="s">
        <v>1284</v>
      </c>
      <c r="C58" s="840"/>
      <c r="D58" s="840"/>
      <c r="E58" s="840"/>
      <c r="F58" s="840"/>
    </row>
    <row r="59" spans="1:7">
      <c r="B59" s="840"/>
      <c r="C59" s="840"/>
      <c r="D59" s="840"/>
      <c r="E59" s="840"/>
      <c r="F59" s="840"/>
    </row>
    <row r="60" spans="1:7">
      <c r="B60" s="840"/>
      <c r="C60" s="840"/>
      <c r="D60" s="840"/>
      <c r="E60" s="840"/>
      <c r="F60" s="840"/>
    </row>
    <row r="61" spans="1:7">
      <c r="B61" s="308"/>
      <c r="C61" s="308"/>
      <c r="D61" s="308"/>
      <c r="E61" s="308"/>
      <c r="F61" s="308"/>
    </row>
    <row r="62" spans="1:7" ht="15" customHeight="1">
      <c r="B62" s="854" t="s">
        <v>1285</v>
      </c>
      <c r="C62" s="854"/>
      <c r="D62" s="854"/>
      <c r="E62" s="854"/>
      <c r="F62" s="854"/>
    </row>
    <row r="63" spans="1:7">
      <c r="B63" s="854"/>
      <c r="C63" s="854"/>
      <c r="D63" s="854"/>
      <c r="E63" s="854"/>
      <c r="F63" s="854"/>
    </row>
    <row r="64" spans="1:7">
      <c r="B64" s="854"/>
      <c r="C64" s="854"/>
      <c r="D64" s="854"/>
      <c r="E64" s="854"/>
      <c r="F64" s="854"/>
    </row>
    <row r="65" spans="2:6">
      <c r="B65" s="854"/>
      <c r="C65" s="854"/>
      <c r="D65" s="854"/>
      <c r="E65" s="854"/>
      <c r="F65" s="854"/>
    </row>
    <row r="66" spans="2:6">
      <c r="B66" s="17"/>
      <c r="C66" s="17"/>
      <c r="D66" s="17"/>
      <c r="E66" s="17"/>
      <c r="F66" s="17"/>
    </row>
    <row r="67" spans="2:6" ht="15" customHeight="1">
      <c r="B67" s="840" t="s">
        <v>1286</v>
      </c>
      <c r="C67" s="840"/>
      <c r="D67" s="840"/>
      <c r="E67" s="840"/>
      <c r="F67" s="840"/>
    </row>
    <row r="68" spans="2:6">
      <c r="B68" s="840"/>
      <c r="C68" s="840"/>
      <c r="D68" s="840"/>
      <c r="E68" s="840"/>
      <c r="F68" s="840"/>
    </row>
    <row r="69" spans="2:6">
      <c r="B69" s="840"/>
      <c r="C69" s="840"/>
      <c r="D69" s="840"/>
      <c r="E69" s="840"/>
      <c r="F69" s="840"/>
    </row>
    <row r="70" spans="2:6">
      <c r="B70" s="840"/>
      <c r="C70" s="840"/>
      <c r="D70" s="840"/>
      <c r="E70" s="840"/>
      <c r="F70" s="840"/>
    </row>
    <row r="71" spans="2:6">
      <c r="B71" s="17"/>
      <c r="C71" s="17"/>
      <c r="D71" s="17"/>
      <c r="E71" s="17"/>
      <c r="F71" s="17"/>
    </row>
    <row r="72" spans="2:6" ht="15" customHeight="1">
      <c r="B72" s="840" t="s">
        <v>1287</v>
      </c>
      <c r="C72" s="840"/>
      <c r="D72" s="840"/>
      <c r="E72" s="840"/>
      <c r="F72" s="840"/>
    </row>
    <row r="73" spans="2:6">
      <c r="B73" s="840"/>
      <c r="C73" s="840"/>
      <c r="D73" s="840"/>
      <c r="E73" s="840"/>
      <c r="F73" s="840"/>
    </row>
    <row r="74" spans="2:6">
      <c r="B74" s="840"/>
      <c r="C74" s="840"/>
      <c r="D74" s="840"/>
      <c r="E74" s="840"/>
      <c r="F74" s="840"/>
    </row>
    <row r="144" spans="11:11">
      <c r="K144" t="e">
        <f>E30/E144*E151</f>
        <v>#VALUE!</v>
      </c>
    </row>
    <row r="160" spans="10:10">
      <c r="J160">
        <f>E160-D160</f>
        <v>0</v>
      </c>
    </row>
  </sheetData>
  <mergeCells count="5">
    <mergeCell ref="B55:F56"/>
    <mergeCell ref="B58:F60"/>
    <mergeCell ref="B62:F65"/>
    <mergeCell ref="B67:F70"/>
    <mergeCell ref="B72:F74"/>
  </mergeCells>
  <printOptions horizontalCentered="1"/>
  <pageMargins left="1" right="1" top="1" bottom="1" header="0.5" footer="0.5"/>
  <pageSetup scale="51"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160"/>
  <sheetViews>
    <sheetView tabSelected="1" view="pageBreakPreview" topLeftCell="C35" zoomScale="70" zoomScaleNormal="85" zoomScaleSheetLayoutView="70" zoomScalePageLayoutView="70" workbookViewId="0">
      <selection activeCell="E174" sqref="E174"/>
    </sheetView>
  </sheetViews>
  <sheetFormatPr defaultColWidth="9.1796875" defaultRowHeight="14.5"/>
  <cols>
    <col min="1" max="1" width="5.54296875" customWidth="1"/>
    <col min="2" max="2" width="54.26953125" customWidth="1"/>
    <col min="3" max="3" width="24.453125" customWidth="1"/>
    <col min="4" max="4" width="19" customWidth="1"/>
    <col min="5" max="5" width="18.81640625" bestFit="1" customWidth="1"/>
    <col min="6" max="6" width="24.54296875" customWidth="1"/>
    <col min="7" max="7" width="24.81640625" customWidth="1"/>
    <col min="8" max="8" width="15.1796875" bestFit="1" customWidth="1"/>
    <col min="9" max="9" width="16.54296875" customWidth="1"/>
    <col min="10" max="10" width="13.453125" customWidth="1"/>
    <col min="11" max="11" width="25.1796875" customWidth="1"/>
    <col min="12" max="20" width="9.1796875" customWidth="1"/>
  </cols>
  <sheetData>
    <row r="1" spans="1:20">
      <c r="B1" s="330" t="s">
        <v>46</v>
      </c>
      <c r="C1" s="318"/>
      <c r="D1" s="318"/>
      <c r="E1" s="15"/>
      <c r="G1" s="15"/>
      <c r="J1" s="15" t="str">
        <f>CONCATENATE("Prior Year: ",'1-BaseTRR'!$G$2)</f>
        <v>Prior Year: 2021</v>
      </c>
    </row>
    <row r="2" spans="1:20">
      <c r="B2" s="119" t="s">
        <v>131</v>
      </c>
      <c r="C2" s="318"/>
      <c r="D2" s="318"/>
      <c r="E2" s="15"/>
      <c r="F2" s="15"/>
      <c r="G2" s="15"/>
    </row>
    <row r="3" spans="1:20">
      <c r="B3" s="318"/>
      <c r="C3" s="318"/>
      <c r="D3" s="318"/>
      <c r="E3" s="318"/>
      <c r="F3" s="318"/>
      <c r="G3" s="318"/>
    </row>
    <row r="4" spans="1:20" ht="15.75" customHeight="1">
      <c r="A4" s="319"/>
      <c r="B4" s="318" t="s">
        <v>1288</v>
      </c>
      <c r="C4" s="318"/>
      <c r="D4" s="318"/>
      <c r="E4" s="318"/>
      <c r="F4" s="318"/>
      <c r="G4" s="318"/>
      <c r="N4" s="855"/>
      <c r="O4" s="856"/>
      <c r="P4" s="856"/>
      <c r="Q4" s="856"/>
      <c r="R4" s="856"/>
      <c r="S4" s="856"/>
      <c r="T4" s="856"/>
    </row>
    <row r="5" spans="1:20">
      <c r="A5" s="319"/>
      <c r="B5" s="318" t="s">
        <v>1289</v>
      </c>
      <c r="C5" s="318"/>
      <c r="D5" s="318"/>
      <c r="E5" s="318"/>
      <c r="F5" s="318"/>
      <c r="G5" s="318"/>
    </row>
    <row r="6" spans="1:20">
      <c r="A6" s="319"/>
      <c r="B6" s="318" t="s">
        <v>1290</v>
      </c>
      <c r="C6" s="318"/>
      <c r="D6" s="318"/>
      <c r="E6" s="318"/>
      <c r="F6" s="318"/>
      <c r="G6" s="318"/>
    </row>
    <row r="7" spans="1:20">
      <c r="A7" s="319"/>
      <c r="B7" s="318"/>
      <c r="C7" s="318"/>
      <c r="D7" s="318"/>
      <c r="E7" s="318"/>
      <c r="F7" s="318"/>
      <c r="G7" s="318"/>
    </row>
    <row r="8" spans="1:20">
      <c r="A8" s="319"/>
      <c r="B8" s="318" t="s">
        <v>1291</v>
      </c>
      <c r="C8" s="318"/>
      <c r="D8" s="318"/>
      <c r="E8" s="318"/>
      <c r="F8" s="318"/>
      <c r="G8" s="318"/>
    </row>
    <row r="9" spans="1:20">
      <c r="A9" s="319"/>
      <c r="B9" s="318" t="s">
        <v>1292</v>
      </c>
      <c r="C9" s="318"/>
      <c r="D9" s="318"/>
      <c r="E9" s="318"/>
      <c r="F9" s="318"/>
      <c r="G9" s="318"/>
    </row>
    <row r="10" spans="1:20">
      <c r="A10" s="319"/>
      <c r="B10" s="318"/>
      <c r="C10" s="318"/>
      <c r="D10" s="318"/>
      <c r="E10" s="318"/>
      <c r="F10" s="318"/>
      <c r="G10" s="318"/>
    </row>
    <row r="11" spans="1:20">
      <c r="A11" s="319"/>
      <c r="B11" s="318" t="s">
        <v>1293</v>
      </c>
      <c r="C11" s="318"/>
      <c r="D11" s="318"/>
      <c r="E11" s="318"/>
      <c r="F11" s="318"/>
      <c r="G11" s="318"/>
    </row>
    <row r="12" spans="1:20">
      <c r="A12" s="319"/>
      <c r="B12" s="318" t="s">
        <v>1294</v>
      </c>
      <c r="C12" s="318"/>
      <c r="D12" s="318"/>
      <c r="E12" s="318"/>
      <c r="F12" s="318"/>
      <c r="G12" s="318"/>
    </row>
    <row r="13" spans="1:20">
      <c r="A13" s="319"/>
      <c r="B13" s="318" t="s">
        <v>1295</v>
      </c>
      <c r="C13" s="318"/>
      <c r="D13" s="318"/>
      <c r="E13" s="318"/>
      <c r="F13" s="318"/>
      <c r="G13" s="318"/>
    </row>
    <row r="14" spans="1:20">
      <c r="A14" s="319"/>
      <c r="B14" s="318"/>
      <c r="C14" s="318"/>
      <c r="D14" s="318"/>
      <c r="E14" s="318"/>
      <c r="F14" s="318"/>
      <c r="G14" s="318"/>
    </row>
    <row r="15" spans="1:20">
      <c r="A15" s="319"/>
      <c r="B15" s="58" t="s">
        <v>1296</v>
      </c>
      <c r="C15" s="55"/>
      <c r="D15" s="55"/>
      <c r="E15" s="55"/>
      <c r="F15" s="55"/>
      <c r="G15" s="55"/>
    </row>
    <row r="16" spans="1:20">
      <c r="A16" s="319"/>
      <c r="B16" s="330" t="s">
        <v>350</v>
      </c>
      <c r="C16" s="318"/>
      <c r="D16" s="318"/>
      <c r="E16" s="318"/>
      <c r="F16" s="318"/>
      <c r="G16" s="318"/>
    </row>
    <row r="17" spans="1:11">
      <c r="A17" s="319"/>
      <c r="B17" s="318" t="s">
        <v>1297</v>
      </c>
      <c r="C17" s="318"/>
      <c r="D17" s="318"/>
      <c r="E17" s="318"/>
      <c r="F17" s="318"/>
      <c r="G17" s="318"/>
    </row>
    <row r="18" spans="1:11">
      <c r="A18" s="319"/>
      <c r="B18" s="318" t="s">
        <v>1298</v>
      </c>
    </row>
    <row r="19" spans="1:11">
      <c r="A19" s="319"/>
      <c r="B19" s="333" t="s">
        <v>1299</v>
      </c>
    </row>
    <row r="20" spans="1:11">
      <c r="A20" s="319"/>
      <c r="B20" s="333" t="s">
        <v>1300</v>
      </c>
      <c r="E20" s="17"/>
    </row>
    <row r="21" spans="1:11">
      <c r="A21" s="319"/>
      <c r="B21" s="318" t="s">
        <v>1301</v>
      </c>
    </row>
    <row r="22" spans="1:11">
      <c r="A22" s="319"/>
      <c r="B22" s="318"/>
    </row>
    <row r="23" spans="1:11">
      <c r="A23" s="319"/>
      <c r="B23" s="318"/>
      <c r="C23" s="318"/>
      <c r="D23" s="318"/>
      <c r="E23" s="319" t="s">
        <v>461</v>
      </c>
      <c r="F23" s="318"/>
      <c r="G23" s="318"/>
    </row>
    <row r="24" spans="1:11">
      <c r="A24" s="324" t="s">
        <v>100</v>
      </c>
      <c r="B24" s="318"/>
      <c r="C24" s="318"/>
      <c r="D24" s="318"/>
      <c r="E24" s="324" t="s">
        <v>593</v>
      </c>
      <c r="F24" s="332" t="s">
        <v>1302</v>
      </c>
      <c r="G24" s="332"/>
      <c r="K24" s="324" t="str">
        <f>A24</f>
        <v>Line</v>
      </c>
    </row>
    <row r="25" spans="1:11">
      <c r="A25" s="319">
        <v>100</v>
      </c>
      <c r="B25" s="318" t="s">
        <v>1303</v>
      </c>
      <c r="C25" s="318"/>
      <c r="D25" s="318"/>
      <c r="E25" s="629">
        <f>+D34</f>
        <v>0</v>
      </c>
      <c r="F25" s="318" t="s">
        <v>1304</v>
      </c>
      <c r="G25" s="318"/>
      <c r="K25" s="319">
        <f>A25</f>
        <v>100</v>
      </c>
    </row>
    <row r="26" spans="1:11">
      <c r="A26" s="319">
        <f>A25+1</f>
        <v>101</v>
      </c>
      <c r="B26" s="318" t="s">
        <v>1305</v>
      </c>
      <c r="C26" s="318"/>
      <c r="D26" s="318"/>
      <c r="E26" s="629">
        <f>AVERAGE(C34:D34)</f>
        <v>0</v>
      </c>
      <c r="F26" s="318" t="s">
        <v>1306</v>
      </c>
      <c r="G26" s="318"/>
      <c r="K26" s="319">
        <f>A26</f>
        <v>101</v>
      </c>
    </row>
    <row r="27" spans="1:11">
      <c r="A27" s="319">
        <f>A26+1</f>
        <v>102</v>
      </c>
      <c r="B27" s="318" t="s">
        <v>1307</v>
      </c>
      <c r="C27" s="318"/>
      <c r="D27" s="318"/>
      <c r="E27" s="629">
        <f>+E34</f>
        <v>0</v>
      </c>
      <c r="F27" s="318" t="s">
        <v>1308</v>
      </c>
      <c r="G27" s="318"/>
      <c r="K27" s="319">
        <f>A27</f>
        <v>102</v>
      </c>
    </row>
    <row r="28" spans="1:11">
      <c r="A28" s="319"/>
      <c r="B28" s="318"/>
      <c r="C28" s="318"/>
      <c r="D28" s="318"/>
      <c r="E28" s="325"/>
      <c r="F28" s="318"/>
      <c r="G28" s="318"/>
      <c r="K28" s="319"/>
    </row>
    <row r="29" spans="1:11">
      <c r="A29" s="319"/>
      <c r="B29" s="318"/>
      <c r="C29" s="331" t="s">
        <v>1309</v>
      </c>
      <c r="D29" s="331" t="s">
        <v>1310</v>
      </c>
      <c r="E29" s="331" t="s">
        <v>1311</v>
      </c>
      <c r="F29" s="318"/>
      <c r="G29" s="318"/>
      <c r="K29" s="319"/>
    </row>
    <row r="30" spans="1:11">
      <c r="A30" s="319"/>
      <c r="B30" s="318"/>
      <c r="C30" s="319" t="s">
        <v>461</v>
      </c>
      <c r="D30" s="319" t="s">
        <v>461</v>
      </c>
      <c r="E30" s="319" t="s">
        <v>461</v>
      </c>
      <c r="F30" s="318"/>
      <c r="G30" s="318"/>
      <c r="K30" s="319"/>
    </row>
    <row r="31" spans="1:11">
      <c r="A31" s="319"/>
      <c r="B31" s="319" t="s">
        <v>1312</v>
      </c>
      <c r="C31" s="319" t="s">
        <v>1313</v>
      </c>
      <c r="D31" s="319" t="s">
        <v>765</v>
      </c>
      <c r="E31" s="12" t="s">
        <v>1314</v>
      </c>
      <c r="F31" s="330" t="s">
        <v>1315</v>
      </c>
      <c r="G31" s="330"/>
      <c r="K31" s="319"/>
    </row>
    <row r="32" spans="1:11">
      <c r="A32" s="324"/>
      <c r="B32" s="319" t="s">
        <v>1316</v>
      </c>
      <c r="C32" s="319" t="s">
        <v>1317</v>
      </c>
      <c r="D32" s="319" t="s">
        <v>1317</v>
      </c>
      <c r="E32" s="319" t="s">
        <v>1318</v>
      </c>
      <c r="F32" s="330" t="s">
        <v>1319</v>
      </c>
      <c r="G32" s="330"/>
      <c r="K32" s="319"/>
    </row>
    <row r="33" spans="1:11">
      <c r="A33" s="324" t="s">
        <v>100</v>
      </c>
      <c r="B33" s="324" t="s">
        <v>1320</v>
      </c>
      <c r="C33" s="324" t="s">
        <v>1320</v>
      </c>
      <c r="D33" s="324" t="s">
        <v>1320</v>
      </c>
      <c r="E33" s="324" t="s">
        <v>1321</v>
      </c>
      <c r="F33" s="329" t="s">
        <v>1322</v>
      </c>
      <c r="G33" s="324" t="s">
        <v>135</v>
      </c>
      <c r="K33" s="324" t="str">
        <f>A33</f>
        <v>Line</v>
      </c>
    </row>
    <row r="34" spans="1:11" ht="15" thickBot="1">
      <c r="A34" s="328">
        <f>A27+1</f>
        <v>103</v>
      </c>
      <c r="B34" s="326" t="s">
        <v>1323</v>
      </c>
      <c r="C34" s="628">
        <f>SUM(C36:C38)</f>
        <v>0</v>
      </c>
      <c r="D34" s="628">
        <f>SUM(D36:D38)</f>
        <v>0</v>
      </c>
      <c r="E34" s="327">
        <f>SUM(E36:E38)</f>
        <v>0</v>
      </c>
      <c r="F34" s="326"/>
      <c r="G34" s="326"/>
      <c r="K34" s="319">
        <f>A34</f>
        <v>103</v>
      </c>
    </row>
    <row r="35" spans="1:11" ht="15" thickTop="1">
      <c r="A35" s="319"/>
      <c r="B35" s="318"/>
      <c r="C35" s="325"/>
      <c r="D35" s="325"/>
      <c r="E35" s="325"/>
      <c r="F35" s="318"/>
      <c r="G35" s="318"/>
      <c r="K35" s="324"/>
    </row>
    <row r="36" spans="1:11">
      <c r="A36" s="319">
        <f>A34+1</f>
        <v>104</v>
      </c>
      <c r="B36" s="320" t="s">
        <v>1324</v>
      </c>
      <c r="C36" s="626"/>
      <c r="D36" s="626"/>
      <c r="E36" s="322"/>
      <c r="F36" s="320"/>
      <c r="G36" s="320"/>
      <c r="K36" s="319">
        <f>A36</f>
        <v>104</v>
      </c>
    </row>
    <row r="37" spans="1:11">
      <c r="A37" s="319">
        <f>A36+1</f>
        <v>105</v>
      </c>
      <c r="B37" s="320" t="s">
        <v>1325</v>
      </c>
      <c r="C37" s="626"/>
      <c r="D37" s="626"/>
      <c r="E37" s="322"/>
      <c r="F37" s="320"/>
      <c r="G37" s="320"/>
      <c r="K37" s="319">
        <f>A37</f>
        <v>105</v>
      </c>
    </row>
    <row r="38" spans="1:11">
      <c r="A38" s="319">
        <f t="shared" ref="A38:A39" si="0">A37+1</f>
        <v>106</v>
      </c>
      <c r="B38" s="320" t="s">
        <v>1326</v>
      </c>
      <c r="C38" s="627"/>
      <c r="D38" s="626"/>
      <c r="E38" s="321"/>
      <c r="F38" s="320"/>
      <c r="G38" s="320"/>
      <c r="K38" s="319">
        <f>A38</f>
        <v>106</v>
      </c>
    </row>
    <row r="39" spans="1:11">
      <c r="A39" s="319">
        <f t="shared" si="0"/>
        <v>107</v>
      </c>
      <c r="B39" s="323" t="s">
        <v>634</v>
      </c>
      <c r="C39" s="627"/>
      <c r="D39" s="626"/>
      <c r="E39" s="321"/>
      <c r="F39" s="320"/>
      <c r="G39" s="320"/>
      <c r="K39" s="319">
        <f>A39</f>
        <v>107</v>
      </c>
    </row>
    <row r="40" spans="1:11">
      <c r="A40" s="319"/>
      <c r="B40" s="318"/>
      <c r="C40" s="318"/>
      <c r="D40" s="318"/>
      <c r="E40" s="318"/>
      <c r="F40" s="318"/>
      <c r="G40" s="318"/>
      <c r="H40" s="319"/>
    </row>
    <row r="41" spans="1:11">
      <c r="A41" s="319"/>
    </row>
    <row r="42" spans="1:11">
      <c r="A42" s="319"/>
      <c r="B42" s="318"/>
    </row>
    <row r="43" spans="1:11">
      <c r="A43" s="133"/>
      <c r="B43" s="120" t="s">
        <v>1327</v>
      </c>
      <c r="C43" s="181"/>
      <c r="D43" s="303"/>
      <c r="E43" s="303"/>
      <c r="F43" s="298"/>
      <c r="G43" s="298"/>
      <c r="H43" s="298"/>
      <c r="I43" s="304"/>
      <c r="J43" s="146"/>
    </row>
    <row r="44" spans="1:11">
      <c r="A44" s="133"/>
      <c r="B44" s="144"/>
      <c r="C44" s="177"/>
      <c r="D44" s="361"/>
      <c r="E44" s="361"/>
      <c r="F44" s="287"/>
      <c r="G44" s="287"/>
      <c r="H44" s="287"/>
      <c r="I44" s="18"/>
      <c r="J44" s="17"/>
    </row>
    <row r="45" spans="1:11">
      <c r="A45" s="121" t="s">
        <v>100</v>
      </c>
      <c r="B45" s="13" t="s">
        <v>6</v>
      </c>
      <c r="C45" s="13" t="s">
        <v>1328</v>
      </c>
      <c r="D45" s="184" t="s">
        <v>135</v>
      </c>
      <c r="E45" s="361"/>
      <c r="F45" s="287"/>
      <c r="G45" s="287"/>
      <c r="H45" s="287"/>
      <c r="I45" s="18"/>
      <c r="J45" s="17"/>
      <c r="K45" s="121" t="s">
        <v>100</v>
      </c>
    </row>
    <row r="46" spans="1:11" ht="58">
      <c r="A46" s="133">
        <v>200</v>
      </c>
      <c r="B46" s="630" t="s">
        <v>1329</v>
      </c>
      <c r="C46" s="437">
        <f>IF(B56=2017,0,('17-RegAssets-2'!AP23+'17-RegAssets-3'!AR23))</f>
        <v>-557630113.5688163</v>
      </c>
      <c r="D46" s="698" t="s">
        <v>1330</v>
      </c>
      <c r="E46" s="361"/>
      <c r="F46" s="287"/>
      <c r="G46" s="287"/>
      <c r="H46" s="287"/>
      <c r="I46" s="18"/>
      <c r="J46" s="17"/>
      <c r="K46" s="133">
        <f>A46</f>
        <v>200</v>
      </c>
    </row>
    <row r="47" spans="1:11" ht="43.5">
      <c r="A47" s="133">
        <f>A46+1</f>
        <v>201</v>
      </c>
      <c r="B47" s="630" t="s">
        <v>1331</v>
      </c>
      <c r="C47" s="437">
        <f>+'17-RegAssets-2'!BD23+'17-RegAssets-3'!BF23</f>
        <v>-535162605.7936902</v>
      </c>
      <c r="D47" s="698" t="s">
        <v>1332</v>
      </c>
      <c r="E47" s="361"/>
      <c r="F47" s="287"/>
      <c r="G47" s="287"/>
      <c r="H47" s="287"/>
      <c r="I47" s="18"/>
      <c r="J47" s="17"/>
      <c r="K47" s="133">
        <f t="shared" ref="K47:K48" si="1">A47</f>
        <v>201</v>
      </c>
    </row>
    <row r="48" spans="1:11">
      <c r="A48" s="133">
        <f>A47+1</f>
        <v>202</v>
      </c>
      <c r="B48" s="388" t="s">
        <v>1333</v>
      </c>
      <c r="C48" s="437">
        <f>J69</f>
        <v>-547222220.12686849</v>
      </c>
      <c r="D48" s="182" t="s">
        <v>1334</v>
      </c>
      <c r="E48" s="361"/>
      <c r="F48" s="287"/>
      <c r="G48" s="287"/>
      <c r="H48" s="287"/>
      <c r="I48" s="18"/>
      <c r="J48" s="17"/>
      <c r="K48" s="133">
        <f t="shared" si="1"/>
        <v>202</v>
      </c>
    </row>
    <row r="49" spans="1:11">
      <c r="A49" s="133"/>
      <c r="B49" s="144"/>
      <c r="C49" s="177"/>
      <c r="D49" s="361"/>
      <c r="E49" s="361"/>
      <c r="F49" s="287"/>
      <c r="G49" s="287"/>
      <c r="H49" s="287"/>
      <c r="I49" s="18"/>
      <c r="J49" s="17"/>
      <c r="K49" s="133"/>
    </row>
    <row r="50" spans="1:11">
      <c r="A50" s="133"/>
      <c r="B50" s="17"/>
      <c r="C50" s="124" t="s">
        <v>371</v>
      </c>
      <c r="D50" s="124" t="s">
        <v>372</v>
      </c>
      <c r="E50" s="124" t="s">
        <v>373</v>
      </c>
      <c r="F50" s="124" t="s">
        <v>374</v>
      </c>
      <c r="G50" s="124" t="s">
        <v>375</v>
      </c>
      <c r="H50" s="124" t="s">
        <v>376</v>
      </c>
      <c r="I50" s="124" t="s">
        <v>377</v>
      </c>
      <c r="J50" s="124" t="s">
        <v>378</v>
      </c>
      <c r="K50" s="133"/>
    </row>
    <row r="51" spans="1:11">
      <c r="A51" s="133"/>
      <c r="B51" s="17"/>
      <c r="C51" s="177"/>
      <c r="D51" s="305" t="s">
        <v>1179</v>
      </c>
      <c r="E51" s="305" t="s">
        <v>1180</v>
      </c>
      <c r="F51" s="288"/>
      <c r="G51" s="288"/>
      <c r="H51" s="305" t="s">
        <v>1181</v>
      </c>
      <c r="I51" s="125" t="s">
        <v>1182</v>
      </c>
      <c r="J51" s="305" t="s">
        <v>1183</v>
      </c>
      <c r="K51" s="133"/>
    </row>
    <row r="52" spans="1:11">
      <c r="A52" s="133"/>
      <c r="B52" s="17"/>
      <c r="C52" s="177"/>
      <c r="D52" s="293"/>
      <c r="E52" s="293"/>
      <c r="F52" s="288"/>
      <c r="G52" s="288"/>
      <c r="H52" s="288"/>
      <c r="I52" s="18"/>
      <c r="J52" s="17"/>
      <c r="K52" s="133"/>
    </row>
    <row r="53" spans="1:11">
      <c r="A53" s="133"/>
      <c r="B53" s="17"/>
      <c r="C53" s="184"/>
      <c r="D53" s="305" t="s">
        <v>1184</v>
      </c>
      <c r="E53" s="305" t="s">
        <v>1185</v>
      </c>
      <c r="F53" s="305"/>
      <c r="G53" s="305" t="s">
        <v>1186</v>
      </c>
      <c r="H53" s="305" t="s">
        <v>1187</v>
      </c>
      <c r="I53" s="133" t="s">
        <v>1188</v>
      </c>
      <c r="J53" s="133" t="s">
        <v>1189</v>
      </c>
      <c r="K53" s="133"/>
    </row>
    <row r="54" spans="1:11">
      <c r="A54" s="121" t="s">
        <v>100</v>
      </c>
      <c r="B54" s="121" t="s">
        <v>420</v>
      </c>
      <c r="C54" s="184" t="s">
        <v>1190</v>
      </c>
      <c r="D54" s="307" t="s">
        <v>1191</v>
      </c>
      <c r="E54" s="307" t="s">
        <v>1192</v>
      </c>
      <c r="F54" s="307" t="s">
        <v>1193</v>
      </c>
      <c r="G54" s="307" t="s">
        <v>1194</v>
      </c>
      <c r="H54" s="307" t="s">
        <v>1195</v>
      </c>
      <c r="I54" s="121" t="s">
        <v>1196</v>
      </c>
      <c r="J54" s="121" t="s">
        <v>1197</v>
      </c>
      <c r="K54" s="121" t="str">
        <f t="shared" ref="K54:K69" si="2">A54</f>
        <v>Line</v>
      </c>
    </row>
    <row r="55" spans="1:11" ht="29">
      <c r="A55" s="133">
        <f>A48+1</f>
        <v>203</v>
      </c>
      <c r="B55" s="17"/>
      <c r="C55" s="308" t="s">
        <v>1335</v>
      </c>
      <c r="D55" s="436"/>
      <c r="E55" s="211">
        <f>+C46</f>
        <v>-557630113.5688163</v>
      </c>
      <c r="F55" s="288"/>
      <c r="G55" s="45">
        <f>+G56+F56-G67</f>
        <v>365</v>
      </c>
      <c r="H55" s="310">
        <f>1</f>
        <v>1</v>
      </c>
      <c r="I55" s="311"/>
      <c r="J55" s="438">
        <f>+E55</f>
        <v>-557630113.5688163</v>
      </c>
      <c r="K55" s="133">
        <f t="shared" si="2"/>
        <v>203</v>
      </c>
    </row>
    <row r="56" spans="1:11">
      <c r="A56" s="133">
        <f t="shared" ref="A56:A69" si="3">A55+1</f>
        <v>204</v>
      </c>
      <c r="B56" s="27">
        <f>'1-BaseTRR'!$G$2</f>
        <v>2021</v>
      </c>
      <c r="C56" s="308" t="s">
        <v>430</v>
      </c>
      <c r="D56" s="211">
        <f>(-$C$46+$C$47)/12</f>
        <v>1872292.3145938416</v>
      </c>
      <c r="E56" s="211">
        <f t="shared" ref="E56:E67" si="4">E55+D56</f>
        <v>-555757821.25422251</v>
      </c>
      <c r="F56" s="45">
        <v>31</v>
      </c>
      <c r="G56" s="45">
        <f t="shared" ref="G56:G65" si="5">+G57+F57</f>
        <v>335</v>
      </c>
      <c r="H56" s="310">
        <f>G56/G55</f>
        <v>0.9178082191780822</v>
      </c>
      <c r="I56" s="437">
        <f>D56*H56</f>
        <v>1718405.2750381834</v>
      </c>
      <c r="J56" s="243">
        <f>J55+I56</f>
        <v>-555911708.29377806</v>
      </c>
      <c r="K56" s="133">
        <f t="shared" si="2"/>
        <v>204</v>
      </c>
    </row>
    <row r="57" spans="1:11">
      <c r="A57" s="133">
        <f t="shared" si="3"/>
        <v>205</v>
      </c>
      <c r="B57" s="27">
        <f>'1-BaseTRR'!$G$2</f>
        <v>2021</v>
      </c>
      <c r="C57" s="308" t="s">
        <v>431</v>
      </c>
      <c r="D57" s="211">
        <f t="shared" ref="D57:D67" si="6">(-$C$46+$C$47)/12</f>
        <v>1872292.3145938416</v>
      </c>
      <c r="E57" s="211">
        <f t="shared" si="4"/>
        <v>-553885528.93962872</v>
      </c>
      <c r="F57" s="313">
        <v>28</v>
      </c>
      <c r="G57" s="45">
        <f t="shared" si="5"/>
        <v>307</v>
      </c>
      <c r="H57" s="310">
        <f>G57/G55</f>
        <v>0.84109589041095889</v>
      </c>
      <c r="I57" s="437">
        <f t="shared" ref="I57:I67" si="7">D57*H57</f>
        <v>1574777.3714529022</v>
      </c>
      <c r="J57" s="243">
        <f t="shared" ref="J57:J67" si="8">J56+I57</f>
        <v>-554336930.92232513</v>
      </c>
      <c r="K57" s="133">
        <f t="shared" si="2"/>
        <v>205</v>
      </c>
    </row>
    <row r="58" spans="1:11">
      <c r="A58" s="133">
        <f t="shared" si="3"/>
        <v>206</v>
      </c>
      <c r="B58" s="27">
        <f>'1-BaseTRR'!$G$2</f>
        <v>2021</v>
      </c>
      <c r="C58" s="308" t="s">
        <v>432</v>
      </c>
      <c r="D58" s="211">
        <f t="shared" si="6"/>
        <v>1872292.3145938416</v>
      </c>
      <c r="E58" s="211">
        <f t="shared" si="4"/>
        <v>-552013236.62503493</v>
      </c>
      <c r="F58" s="45">
        <v>31</v>
      </c>
      <c r="G58" s="45">
        <f t="shared" si="5"/>
        <v>276</v>
      </c>
      <c r="H58" s="310">
        <f>G58/G55</f>
        <v>0.75616438356164384</v>
      </c>
      <c r="I58" s="437">
        <f t="shared" si="7"/>
        <v>1415760.7639120556</v>
      </c>
      <c r="J58" s="243">
        <f t="shared" si="8"/>
        <v>-552921170.15841305</v>
      </c>
      <c r="K58" s="133">
        <f t="shared" si="2"/>
        <v>206</v>
      </c>
    </row>
    <row r="59" spans="1:11">
      <c r="A59" s="133">
        <f t="shared" si="3"/>
        <v>207</v>
      </c>
      <c r="B59" s="27">
        <f>'1-BaseTRR'!$G$2</f>
        <v>2021</v>
      </c>
      <c r="C59" s="308" t="s">
        <v>433</v>
      </c>
      <c r="D59" s="211">
        <f t="shared" si="6"/>
        <v>1872292.3145938416</v>
      </c>
      <c r="E59" s="211">
        <f t="shared" si="4"/>
        <v>-550140944.31044114</v>
      </c>
      <c r="F59" s="45">
        <v>30</v>
      </c>
      <c r="G59" s="45">
        <f t="shared" si="5"/>
        <v>246</v>
      </c>
      <c r="H59" s="310">
        <f>G59/G55</f>
        <v>0.67397260273972603</v>
      </c>
      <c r="I59" s="437">
        <f t="shared" si="7"/>
        <v>1261873.7243563973</v>
      </c>
      <c r="J59" s="243">
        <f t="shared" si="8"/>
        <v>-551659296.43405664</v>
      </c>
      <c r="K59" s="133">
        <f t="shared" si="2"/>
        <v>207</v>
      </c>
    </row>
    <row r="60" spans="1:11">
      <c r="A60" s="133">
        <f t="shared" si="3"/>
        <v>208</v>
      </c>
      <c r="B60" s="27">
        <f>'1-BaseTRR'!$G$2</f>
        <v>2021</v>
      </c>
      <c r="C60" s="308" t="s">
        <v>395</v>
      </c>
      <c r="D60" s="211">
        <f t="shared" si="6"/>
        <v>1872292.3145938416</v>
      </c>
      <c r="E60" s="211">
        <f t="shared" si="4"/>
        <v>-548268651.99584734</v>
      </c>
      <c r="F60" s="45">
        <v>31</v>
      </c>
      <c r="G60" s="45">
        <f t="shared" si="5"/>
        <v>215</v>
      </c>
      <c r="H60" s="310">
        <f>G60/G55</f>
        <v>0.58904109589041098</v>
      </c>
      <c r="I60" s="437">
        <f t="shared" si="7"/>
        <v>1102857.1168155505</v>
      </c>
      <c r="J60" s="243">
        <f t="shared" si="8"/>
        <v>-550556439.31724107</v>
      </c>
      <c r="K60" s="133">
        <f t="shared" si="2"/>
        <v>208</v>
      </c>
    </row>
    <row r="61" spans="1:11">
      <c r="A61" s="133">
        <f t="shared" si="3"/>
        <v>209</v>
      </c>
      <c r="B61" s="27">
        <f>'1-BaseTRR'!$G$2</f>
        <v>2021</v>
      </c>
      <c r="C61" s="308" t="s">
        <v>531</v>
      </c>
      <c r="D61" s="211">
        <f t="shared" si="6"/>
        <v>1872292.3145938416</v>
      </c>
      <c r="E61" s="211">
        <f t="shared" si="4"/>
        <v>-546396359.68125355</v>
      </c>
      <c r="F61" s="45">
        <v>30</v>
      </c>
      <c r="G61" s="45">
        <f t="shared" si="5"/>
        <v>185</v>
      </c>
      <c r="H61" s="310">
        <f>G61/G55</f>
        <v>0.50684931506849318</v>
      </c>
      <c r="I61" s="437">
        <f t="shared" si="7"/>
        <v>948970.07725989236</v>
      </c>
      <c r="J61" s="243">
        <f t="shared" si="8"/>
        <v>-549607469.23998117</v>
      </c>
      <c r="K61" s="133">
        <f t="shared" si="2"/>
        <v>209</v>
      </c>
    </row>
    <row r="62" spans="1:11">
      <c r="A62" s="133">
        <f t="shared" si="3"/>
        <v>210</v>
      </c>
      <c r="B62" s="27">
        <f>'1-BaseTRR'!$G$2</f>
        <v>2021</v>
      </c>
      <c r="C62" s="308" t="s">
        <v>435</v>
      </c>
      <c r="D62" s="211">
        <f t="shared" si="6"/>
        <v>1872292.3145938416</v>
      </c>
      <c r="E62" s="211">
        <f t="shared" si="4"/>
        <v>-544524067.36665976</v>
      </c>
      <c r="F62" s="45">
        <v>31</v>
      </c>
      <c r="G62" s="45">
        <f t="shared" si="5"/>
        <v>154</v>
      </c>
      <c r="H62" s="310">
        <f>G62/G55</f>
        <v>0.42191780821917807</v>
      </c>
      <c r="I62" s="437">
        <f t="shared" si="7"/>
        <v>789953.46971904545</v>
      </c>
      <c r="J62" s="243">
        <f t="shared" si="8"/>
        <v>-548817515.77026212</v>
      </c>
      <c r="K62" s="133">
        <f t="shared" si="2"/>
        <v>210</v>
      </c>
    </row>
    <row r="63" spans="1:11">
      <c r="A63" s="133">
        <f t="shared" si="3"/>
        <v>211</v>
      </c>
      <c r="B63" s="27">
        <f>'1-BaseTRR'!$G$2</f>
        <v>2021</v>
      </c>
      <c r="C63" s="308" t="s">
        <v>436</v>
      </c>
      <c r="D63" s="211">
        <f t="shared" si="6"/>
        <v>1872292.3145938416</v>
      </c>
      <c r="E63" s="211">
        <f t="shared" si="4"/>
        <v>-542651775.05206597</v>
      </c>
      <c r="F63" s="45">
        <v>31</v>
      </c>
      <c r="G63" s="45">
        <f t="shared" si="5"/>
        <v>123</v>
      </c>
      <c r="H63" s="310">
        <f>G63/G55</f>
        <v>0.33698630136986302</v>
      </c>
      <c r="I63" s="437">
        <f t="shared" si="7"/>
        <v>630936.86217819864</v>
      </c>
      <c r="J63" s="243">
        <f t="shared" si="8"/>
        <v>-548186578.90808392</v>
      </c>
      <c r="K63" s="133">
        <f t="shared" si="2"/>
        <v>211</v>
      </c>
    </row>
    <row r="64" spans="1:11">
      <c r="A64" s="133">
        <f t="shared" si="3"/>
        <v>212</v>
      </c>
      <c r="B64" s="27">
        <f>'1-BaseTRR'!$G$2</f>
        <v>2021</v>
      </c>
      <c r="C64" s="308" t="s">
        <v>437</v>
      </c>
      <c r="D64" s="211">
        <f t="shared" si="6"/>
        <v>1872292.3145938416</v>
      </c>
      <c r="E64" s="211">
        <f t="shared" si="4"/>
        <v>-540779482.73747218</v>
      </c>
      <c r="F64" s="45">
        <v>30</v>
      </c>
      <c r="G64" s="45">
        <f t="shared" si="5"/>
        <v>93</v>
      </c>
      <c r="H64" s="310">
        <f>G64/G55</f>
        <v>0.25479452054794521</v>
      </c>
      <c r="I64" s="437">
        <f t="shared" si="7"/>
        <v>477049.82262254047</v>
      </c>
      <c r="J64" s="243">
        <f t="shared" si="8"/>
        <v>-547709529.08546138</v>
      </c>
      <c r="K64" s="133">
        <f t="shared" si="2"/>
        <v>212</v>
      </c>
    </row>
    <row r="65" spans="1:11">
      <c r="A65" s="133">
        <f t="shared" si="3"/>
        <v>213</v>
      </c>
      <c r="B65" s="27">
        <f>'1-BaseTRR'!$G$2</f>
        <v>2021</v>
      </c>
      <c r="C65" s="308" t="s">
        <v>438</v>
      </c>
      <c r="D65" s="211">
        <f t="shared" si="6"/>
        <v>1872292.3145938416</v>
      </c>
      <c r="E65" s="211">
        <f t="shared" si="4"/>
        <v>-538907190.42287838</v>
      </c>
      <c r="F65" s="45">
        <v>31</v>
      </c>
      <c r="G65" s="45">
        <f t="shared" si="5"/>
        <v>62</v>
      </c>
      <c r="H65" s="310">
        <f>G65/G55</f>
        <v>0.16986301369863013</v>
      </c>
      <c r="I65" s="437">
        <f t="shared" si="7"/>
        <v>318033.2150816936</v>
      </c>
      <c r="J65" s="243">
        <f t="shared" si="8"/>
        <v>-547391495.87037969</v>
      </c>
      <c r="K65" s="133">
        <f t="shared" si="2"/>
        <v>213</v>
      </c>
    </row>
    <row r="66" spans="1:11">
      <c r="A66" s="133">
        <f t="shared" si="3"/>
        <v>214</v>
      </c>
      <c r="B66" s="27">
        <f>'1-BaseTRR'!$G$2</f>
        <v>2021</v>
      </c>
      <c r="C66" s="308" t="s">
        <v>439</v>
      </c>
      <c r="D66" s="211">
        <f t="shared" si="6"/>
        <v>1872292.3145938416</v>
      </c>
      <c r="E66" s="211">
        <f t="shared" si="4"/>
        <v>-537034898.10828459</v>
      </c>
      <c r="F66" s="45">
        <v>30</v>
      </c>
      <c r="G66" s="45">
        <f>+G67+F67</f>
        <v>32</v>
      </c>
      <c r="H66" s="310">
        <f>G66/G55</f>
        <v>8.7671232876712329E-2</v>
      </c>
      <c r="I66" s="437">
        <f t="shared" si="7"/>
        <v>164146.17552603543</v>
      </c>
      <c r="J66" s="243">
        <f t="shared" si="8"/>
        <v>-547227349.69485366</v>
      </c>
      <c r="K66" s="133">
        <f t="shared" si="2"/>
        <v>214</v>
      </c>
    </row>
    <row r="67" spans="1:11">
      <c r="A67" s="133">
        <f t="shared" si="3"/>
        <v>215</v>
      </c>
      <c r="B67" s="27">
        <f>'1-BaseTRR'!$G$2</f>
        <v>2021</v>
      </c>
      <c r="C67" s="308" t="s">
        <v>428</v>
      </c>
      <c r="D67" s="211">
        <f t="shared" si="6"/>
        <v>1872292.3145938416</v>
      </c>
      <c r="E67" s="211">
        <f t="shared" si="4"/>
        <v>-535162605.79369074</v>
      </c>
      <c r="F67" s="45">
        <v>31</v>
      </c>
      <c r="G67" s="313">
        <v>1</v>
      </c>
      <c r="H67" s="310">
        <f>G67/G55</f>
        <v>2.7397260273972603E-3</v>
      </c>
      <c r="I67" s="437">
        <f t="shared" si="7"/>
        <v>5129.5679851886071</v>
      </c>
      <c r="J67" s="625">
        <f t="shared" si="8"/>
        <v>-547222220.12686849</v>
      </c>
      <c r="K67" s="133">
        <f t="shared" si="2"/>
        <v>215</v>
      </c>
    </row>
    <row r="68" spans="1:11">
      <c r="A68" s="133">
        <f t="shared" si="3"/>
        <v>216</v>
      </c>
      <c r="B68" s="17"/>
      <c r="C68" s="308" t="s">
        <v>446</v>
      </c>
      <c r="D68" s="211"/>
      <c r="E68" s="211">
        <f>C47</f>
        <v>-535162605.7936902</v>
      </c>
      <c r="F68" s="288"/>
      <c r="G68" s="288"/>
      <c r="H68" s="288"/>
      <c r="I68" s="18"/>
      <c r="J68" s="440"/>
      <c r="K68" s="133">
        <f t="shared" si="2"/>
        <v>216</v>
      </c>
    </row>
    <row r="69" spans="1:11">
      <c r="A69" s="133">
        <f t="shared" si="3"/>
        <v>217</v>
      </c>
      <c r="B69" s="17"/>
      <c r="C69" s="177"/>
      <c r="D69" s="293"/>
      <c r="E69" s="293"/>
      <c r="F69" s="288"/>
      <c r="G69" s="288"/>
      <c r="H69" s="288"/>
      <c r="I69" s="314" t="s">
        <v>1199</v>
      </c>
      <c r="J69" s="554">
        <f>+J67</f>
        <v>-547222220.12686849</v>
      </c>
      <c r="K69" s="133">
        <f t="shared" si="2"/>
        <v>217</v>
      </c>
    </row>
    <row r="71" spans="1:11">
      <c r="B71" s="835" t="s">
        <v>1336</v>
      </c>
      <c r="C71" s="835"/>
      <c r="D71" s="835"/>
      <c r="E71" s="835"/>
      <c r="F71" s="835"/>
      <c r="G71" s="835"/>
      <c r="H71" s="835"/>
      <c r="I71" s="835"/>
      <c r="J71" s="835"/>
    </row>
    <row r="72" spans="1:11">
      <c r="B72" s="835" t="s">
        <v>1337</v>
      </c>
      <c r="C72" s="835"/>
      <c r="D72" s="835"/>
      <c r="E72" s="835"/>
      <c r="F72" s="835"/>
      <c r="G72" s="835"/>
      <c r="H72" s="835"/>
      <c r="I72" s="835"/>
      <c r="J72" s="835"/>
    </row>
    <row r="144" spans="11:11">
      <c r="K144" t="e">
        <f>E30/E144*E151</f>
        <v>#VALUE!</v>
      </c>
    </row>
    <row r="160" spans="10:10">
      <c r="J160">
        <f>E160-D160</f>
        <v>0</v>
      </c>
    </row>
  </sheetData>
  <mergeCells count="3">
    <mergeCell ref="N4:T4"/>
    <mergeCell ref="B71:J71"/>
    <mergeCell ref="B72:J72"/>
  </mergeCells>
  <printOptions horizontalCentered="1"/>
  <pageMargins left="1" right="1" top="1" bottom="1" header="0.5" footer="0.5"/>
  <pageSetup scale="47"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rowBreaks count="1" manualBreakCount="1">
    <brk id="41" max="10" man="1"/>
  </rowBreaks>
  <customProperties>
    <customPr name="_pios_id" r:id="rId2"/>
    <customPr name="EpmWorksheetKeyString_GUID" r:id="rId3"/>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A3F26-43D7-433D-87C3-B8F308C5F4A4}">
  <sheetPr>
    <pageSetUpPr fitToPage="1"/>
  </sheetPr>
  <dimension ref="A1:BH160"/>
  <sheetViews>
    <sheetView tabSelected="1" view="pageBreakPreview" topLeftCell="AJ1" zoomScale="60" zoomScaleNormal="85" zoomScalePageLayoutView="85" workbookViewId="0">
      <selection activeCell="E174" sqref="E174"/>
    </sheetView>
  </sheetViews>
  <sheetFormatPr defaultColWidth="9.1796875" defaultRowHeight="12.5"/>
  <cols>
    <col min="1" max="1" width="6.81640625" style="587" bestFit="1" customWidth="1"/>
    <col min="2" max="2" width="41.7265625" style="587" customWidth="1"/>
    <col min="3" max="3" width="27.81640625" style="587" bestFit="1" customWidth="1"/>
    <col min="4" max="4" width="38.81640625" style="587" customWidth="1"/>
    <col min="5" max="5" width="1.7265625" style="587" customWidth="1"/>
    <col min="6" max="6" width="15.81640625" style="587" bestFit="1" customWidth="1"/>
    <col min="7" max="7" width="1.7265625" style="587" customWidth="1"/>
    <col min="8" max="8" width="14.26953125" style="718" bestFit="1" customWidth="1"/>
    <col min="9" max="9" width="1.7265625" style="587" customWidth="1"/>
    <col min="10" max="10" width="13.453125" style="587" customWidth="1"/>
    <col min="11" max="11" width="25.1796875" style="587" customWidth="1"/>
    <col min="12" max="12" width="15.81640625" style="587" bestFit="1" customWidth="1"/>
    <col min="13" max="13" width="1.7265625" style="587" customWidth="1"/>
    <col min="14" max="14" width="17.453125" style="587" bestFit="1" customWidth="1"/>
    <col min="15" max="15" width="1.7265625" style="587" customWidth="1"/>
    <col min="16" max="16" width="22.1796875" style="701" customWidth="1"/>
    <col min="17" max="17" width="1.7265625" style="587" customWidth="1"/>
    <col min="18" max="18" width="14.7265625" style="587" bestFit="1" customWidth="1"/>
    <col min="19" max="19" width="1.7265625" style="587" customWidth="1"/>
    <col min="20" max="20" width="14.7265625" style="587" bestFit="1" customWidth="1"/>
    <col min="21" max="21" width="1.7265625" style="587" customWidth="1"/>
    <col min="22" max="22" width="17.7265625" style="587" bestFit="1" customWidth="1"/>
    <col min="23" max="23" width="1.7265625" style="587" customWidth="1"/>
    <col min="24" max="24" width="17.26953125" style="587" customWidth="1"/>
    <col min="25" max="25" width="1.7265625" style="587" customWidth="1"/>
    <col min="26" max="26" width="24.54296875" style="701" bestFit="1" customWidth="1"/>
    <col min="27" max="27" width="1.7265625" style="587" customWidth="1"/>
    <col min="28" max="28" width="17.26953125" style="587" customWidth="1"/>
    <col min="29" max="29" width="1.7265625" style="587" customWidth="1"/>
    <col min="30" max="30" width="17.26953125" style="587" customWidth="1"/>
    <col min="31" max="31" width="1.7265625" style="587" customWidth="1"/>
    <col min="32" max="32" width="17.26953125" style="587" customWidth="1"/>
    <col min="33" max="33" width="1.7265625" style="587" customWidth="1"/>
    <col min="34" max="34" width="21.81640625" style="701" bestFit="1" customWidth="1"/>
    <col min="35" max="35" width="1.7265625" style="587" customWidth="1"/>
    <col min="36" max="36" width="21.81640625" style="587" customWidth="1"/>
    <col min="37" max="37" width="1.7265625" style="587" customWidth="1"/>
    <col min="38" max="38" width="21.81640625" style="587" customWidth="1"/>
    <col min="39" max="39" width="1.7265625" style="587" customWidth="1"/>
    <col min="40" max="40" width="21.81640625" style="587" customWidth="1"/>
    <col min="41" max="41" width="1.7265625" style="587" customWidth="1"/>
    <col min="42" max="42" width="21.81640625" style="587" customWidth="1"/>
    <col min="43" max="43" width="1.7265625" style="587" customWidth="1"/>
    <col min="44" max="44" width="17.26953125" style="587" customWidth="1"/>
    <col min="45" max="45" width="1.7265625" style="587" customWidth="1"/>
    <col min="46" max="46" width="17.26953125" style="587" customWidth="1"/>
    <col min="47" max="47" width="1.7265625" style="587" customWidth="1"/>
    <col min="48" max="48" width="17.26953125" style="587" customWidth="1"/>
    <col min="49" max="49" width="1.7265625" style="587" customWidth="1"/>
    <col min="50" max="50" width="21.81640625" style="587" customWidth="1"/>
    <col min="51" max="51" width="1.7265625" style="587" customWidth="1"/>
    <col min="52" max="52" width="21.81640625" style="587" customWidth="1"/>
    <col min="53" max="53" width="1.7265625" style="587" customWidth="1"/>
    <col min="54" max="54" width="21.81640625" style="587" customWidth="1"/>
    <col min="55" max="55" width="1.7265625" style="587" customWidth="1"/>
    <col min="56" max="56" width="21.81640625" style="587" customWidth="1"/>
    <col min="57" max="57" width="1.7265625" style="587" customWidth="1"/>
    <col min="58" max="58" width="16.54296875" style="701" bestFit="1" customWidth="1"/>
    <col min="59" max="59" width="22.7265625" style="587" bestFit="1" customWidth="1"/>
    <col min="60" max="60" width="7.54296875" style="587" customWidth="1"/>
    <col min="61" max="16384" width="9.1796875" style="587"/>
  </cols>
  <sheetData>
    <row r="1" spans="1:60" ht="14.5">
      <c r="B1" s="92" t="s">
        <v>1338</v>
      </c>
      <c r="C1" s="619"/>
      <c r="D1" s="619"/>
      <c r="E1" s="619"/>
      <c r="F1" s="619"/>
      <c r="G1" s="619"/>
      <c r="H1" s="92"/>
      <c r="I1" s="619"/>
      <c r="J1" s="619"/>
      <c r="K1" s="619"/>
      <c r="L1" s="619"/>
      <c r="M1" s="619"/>
      <c r="N1" s="619"/>
      <c r="O1" s="619"/>
      <c r="P1" s="92"/>
      <c r="Q1" s="619"/>
      <c r="R1" s="619"/>
      <c r="S1" s="619"/>
      <c r="T1" s="619"/>
      <c r="U1" s="619"/>
      <c r="V1" s="619"/>
      <c r="W1" s="619"/>
      <c r="X1" s="619"/>
      <c r="Y1" s="619"/>
      <c r="Z1" s="92"/>
      <c r="AA1" s="619"/>
      <c r="AB1" s="619"/>
      <c r="AC1" s="619"/>
      <c r="AD1" s="619"/>
      <c r="AE1" s="619"/>
      <c r="AF1" s="619"/>
      <c r="AG1" s="619"/>
      <c r="AH1" s="92"/>
      <c r="AI1" s="619"/>
      <c r="AJ1" s="619"/>
      <c r="AK1" s="619"/>
      <c r="AL1" s="619"/>
      <c r="AM1" s="619"/>
      <c r="AN1" s="619"/>
      <c r="AO1" s="619"/>
      <c r="AP1" s="619"/>
      <c r="AQ1" s="619"/>
      <c r="AR1" s="619"/>
      <c r="AS1" s="619"/>
      <c r="AT1" s="619"/>
      <c r="AU1" s="619"/>
      <c r="AV1" s="619"/>
      <c r="AW1" s="619"/>
      <c r="AX1" s="619"/>
      <c r="AY1" s="619"/>
      <c r="AZ1" s="619"/>
      <c r="BA1" s="619"/>
      <c r="BB1" s="619"/>
      <c r="BC1" s="619"/>
      <c r="BD1" s="619"/>
      <c r="BE1" s="619"/>
      <c r="BF1" s="92"/>
      <c r="BG1" s="15" t="str">
        <f>CONCATENATE("Prior Year: ",'1-BaseTRR'!$G$2)</f>
        <v>Prior Year: 2021</v>
      </c>
    </row>
    <row r="2" spans="1:60" ht="14.5">
      <c r="A2" s="619"/>
      <c r="B2" s="620" t="s">
        <v>131</v>
      </c>
      <c r="C2" s="620"/>
      <c r="D2" s="619"/>
      <c r="E2" s="619"/>
      <c r="F2" s="619"/>
      <c r="G2" s="619"/>
      <c r="H2" s="92"/>
      <c r="I2" s="619"/>
      <c r="J2" s="619"/>
      <c r="K2" s="619"/>
      <c r="L2" s="619"/>
      <c r="M2" s="619"/>
      <c r="N2" s="619"/>
      <c r="O2" s="619"/>
      <c r="P2" s="92"/>
      <c r="Q2" s="619"/>
      <c r="R2" s="619"/>
      <c r="S2" s="619"/>
      <c r="T2" s="619"/>
      <c r="U2" s="619"/>
      <c r="V2" s="619"/>
      <c r="W2" s="619"/>
      <c r="X2" s="619"/>
      <c r="Y2" s="619"/>
      <c r="Z2" s="92"/>
      <c r="AA2" s="619"/>
      <c r="AB2" s="619"/>
      <c r="AC2" s="619"/>
      <c r="AD2" s="619"/>
      <c r="AE2" s="619"/>
      <c r="AF2" s="619"/>
      <c r="AG2" s="619"/>
      <c r="AH2" s="92"/>
      <c r="AI2" s="619"/>
      <c r="AJ2" s="619"/>
      <c r="AK2" s="619"/>
      <c r="AL2" s="619"/>
      <c r="AM2" s="619"/>
      <c r="AN2" s="619"/>
      <c r="AO2" s="619"/>
      <c r="AP2" s="619"/>
      <c r="AQ2" s="619"/>
      <c r="AR2" s="619"/>
      <c r="AS2" s="619"/>
      <c r="AT2" s="619"/>
      <c r="AU2" s="619"/>
      <c r="AV2" s="619"/>
      <c r="AW2" s="619"/>
      <c r="AX2" s="619"/>
      <c r="AY2" s="619"/>
      <c r="AZ2" s="619"/>
      <c r="BA2" s="619"/>
      <c r="BB2" s="619"/>
      <c r="BC2" s="619"/>
      <c r="BD2" s="619"/>
      <c r="BE2" s="619"/>
      <c r="BF2" s="92"/>
      <c r="BG2" s="619"/>
    </row>
    <row r="3" spans="1:60" ht="14.5">
      <c r="A3" s="588"/>
      <c r="B3" s="588"/>
      <c r="C3" s="588"/>
      <c r="D3" s="588"/>
      <c r="E3" s="588"/>
      <c r="F3" s="588"/>
      <c r="G3" s="588"/>
      <c r="H3" s="77"/>
      <c r="I3" s="588"/>
      <c r="J3" s="588"/>
      <c r="K3" s="588"/>
      <c r="L3" s="588"/>
      <c r="M3" s="588"/>
      <c r="N3" s="588"/>
      <c r="O3" s="588"/>
      <c r="P3" s="77"/>
      <c r="Q3" s="588"/>
      <c r="R3" s="588"/>
      <c r="S3" s="588"/>
      <c r="T3" s="588"/>
      <c r="U3" s="588"/>
      <c r="V3" s="588"/>
      <c r="W3" s="588"/>
      <c r="X3" s="588"/>
      <c r="Y3" s="588"/>
      <c r="Z3" s="77"/>
      <c r="AA3" s="588"/>
      <c r="AB3" s="588"/>
      <c r="AC3" s="588"/>
      <c r="AD3" s="588"/>
      <c r="AE3" s="588"/>
      <c r="AF3" s="588"/>
      <c r="AG3" s="588"/>
      <c r="AH3" s="77"/>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77"/>
      <c r="BG3" s="588"/>
    </row>
    <row r="4" spans="1:60" ht="13">
      <c r="J4" s="859" t="s">
        <v>1339</v>
      </c>
      <c r="K4" s="859"/>
      <c r="L4" s="859"/>
      <c r="M4" s="859"/>
      <c r="N4" s="859"/>
      <c r="O4" s="589"/>
      <c r="P4" s="707" t="s">
        <v>1340</v>
      </c>
      <c r="R4" s="859" t="s">
        <v>1341</v>
      </c>
      <c r="S4" s="859"/>
      <c r="T4" s="859"/>
      <c r="U4" s="859"/>
      <c r="V4" s="859"/>
      <c r="Z4" s="712" t="s">
        <v>1342</v>
      </c>
      <c r="AH4" s="707" t="s">
        <v>1343</v>
      </c>
      <c r="AI4" s="589"/>
      <c r="AJ4" s="859" t="s">
        <v>1341</v>
      </c>
      <c r="AK4" s="859"/>
      <c r="AL4" s="859"/>
      <c r="AM4" s="859"/>
      <c r="AN4" s="859"/>
      <c r="AO4" s="589"/>
      <c r="AP4" s="589"/>
      <c r="AX4" s="859" t="s">
        <v>1341</v>
      </c>
      <c r="AY4" s="859"/>
      <c r="AZ4" s="859"/>
      <c r="BA4" s="859"/>
      <c r="BB4" s="859"/>
      <c r="BC4" s="589"/>
      <c r="BD4" s="589"/>
      <c r="BF4" s="714"/>
    </row>
    <row r="5" spans="1:60" ht="14.5">
      <c r="A5" s="590"/>
      <c r="B5" s="590"/>
      <c r="C5" s="590"/>
      <c r="D5" s="590"/>
      <c r="E5" s="590"/>
      <c r="F5" s="702"/>
      <c r="G5" s="699"/>
      <c r="H5" s="591" t="s">
        <v>1344</v>
      </c>
      <c r="I5" s="590"/>
      <c r="J5" s="591" t="s">
        <v>371</v>
      </c>
      <c r="K5" s="591"/>
      <c r="L5" s="591" t="s">
        <v>372</v>
      </c>
      <c r="M5" s="591"/>
      <c r="N5" s="591" t="s">
        <v>373</v>
      </c>
      <c r="O5" s="591"/>
      <c r="P5" s="591" t="s">
        <v>374</v>
      </c>
      <c r="Q5" s="591"/>
      <c r="R5" s="591" t="s">
        <v>375</v>
      </c>
      <c r="S5" s="591"/>
      <c r="T5" s="591" t="s">
        <v>376</v>
      </c>
      <c r="U5" s="591"/>
      <c r="V5" s="591" t="s">
        <v>377</v>
      </c>
      <c r="W5" s="591"/>
      <c r="X5" s="591" t="s">
        <v>378</v>
      </c>
      <c r="Y5" s="591"/>
      <c r="Z5" s="591" t="s">
        <v>409</v>
      </c>
      <c r="AA5" s="592"/>
      <c r="AB5" s="592" t="s">
        <v>525</v>
      </c>
      <c r="AC5" s="592"/>
      <c r="AD5" s="592" t="s">
        <v>526</v>
      </c>
      <c r="AE5" s="592"/>
      <c r="AF5" s="592" t="s">
        <v>527</v>
      </c>
      <c r="AG5" s="592"/>
      <c r="AH5" s="713" t="s">
        <v>528</v>
      </c>
      <c r="AI5" s="592"/>
      <c r="AJ5" s="592" t="s">
        <v>529</v>
      </c>
      <c r="AK5" s="592"/>
      <c r="AL5" s="592" t="s">
        <v>1345</v>
      </c>
      <c r="AM5" s="592"/>
      <c r="AN5" s="592" t="s">
        <v>1346</v>
      </c>
      <c r="AO5" s="592"/>
      <c r="AP5" s="592" t="s">
        <v>1347</v>
      </c>
      <c r="AQ5" s="592"/>
      <c r="AR5" s="592" t="s">
        <v>1348</v>
      </c>
      <c r="AS5" s="592"/>
      <c r="AT5" s="592" t="s">
        <v>1349</v>
      </c>
      <c r="AU5" s="592"/>
      <c r="AV5" s="592" t="s">
        <v>1350</v>
      </c>
      <c r="AW5" s="592"/>
      <c r="AX5" s="592" t="s">
        <v>1351</v>
      </c>
      <c r="AY5" s="592"/>
      <c r="AZ5" s="592" t="s">
        <v>1352</v>
      </c>
      <c r="BA5" s="592"/>
      <c r="BB5" s="592" t="s">
        <v>1353</v>
      </c>
      <c r="BC5" s="592"/>
      <c r="BD5" s="592" t="s">
        <v>1354</v>
      </c>
      <c r="BE5" s="592"/>
      <c r="BF5" s="591" t="s">
        <v>1355</v>
      </c>
      <c r="BG5" s="590"/>
      <c r="BH5" s="590"/>
    </row>
    <row r="6" spans="1:60" ht="44.25" customHeight="1">
      <c r="A6" s="590"/>
      <c r="B6" s="590"/>
      <c r="C6" s="590"/>
      <c r="D6" s="590"/>
      <c r="E6" s="590"/>
      <c r="F6" s="702"/>
      <c r="G6" s="699"/>
      <c r="H6" s="592"/>
      <c r="I6" s="590"/>
      <c r="J6" s="592"/>
      <c r="K6" s="592"/>
      <c r="L6" s="592"/>
      <c r="M6" s="592"/>
      <c r="N6" s="592" t="s">
        <v>1356</v>
      </c>
      <c r="O6" s="592"/>
      <c r="P6" s="592"/>
      <c r="Q6" s="592"/>
      <c r="R6" s="591"/>
      <c r="S6" s="591"/>
      <c r="T6" s="591"/>
      <c r="U6" s="591"/>
      <c r="V6" s="591"/>
      <c r="W6" s="591"/>
      <c r="X6" s="591" t="s">
        <v>1357</v>
      </c>
      <c r="Y6" s="592"/>
      <c r="Z6" s="592"/>
      <c r="AA6" s="592"/>
      <c r="AB6" s="861" t="s">
        <v>1358</v>
      </c>
      <c r="AC6" s="861"/>
      <c r="AD6" s="861"/>
      <c r="AE6" s="861"/>
      <c r="AF6" s="861"/>
      <c r="AG6" s="592"/>
      <c r="AH6" s="592"/>
      <c r="AI6" s="592"/>
      <c r="AJ6" s="592" t="s">
        <v>1359</v>
      </c>
      <c r="AK6" s="592"/>
      <c r="AL6" s="592" t="s">
        <v>1360</v>
      </c>
      <c r="AM6" s="592"/>
      <c r="AN6" s="592" t="s">
        <v>1361</v>
      </c>
      <c r="AO6" s="592"/>
      <c r="AP6" s="592" t="s">
        <v>1362</v>
      </c>
      <c r="AQ6" s="592"/>
      <c r="AR6" s="861" t="s">
        <v>1363</v>
      </c>
      <c r="AS6" s="861"/>
      <c r="AT6" s="861"/>
      <c r="AU6" s="861"/>
      <c r="AV6" s="861"/>
      <c r="AW6" s="592"/>
      <c r="AX6" s="592" t="s">
        <v>1364</v>
      </c>
      <c r="AY6" s="592"/>
      <c r="AZ6" s="592" t="s">
        <v>1365</v>
      </c>
      <c r="BA6" s="592"/>
      <c r="BB6" s="592" t="s">
        <v>1366</v>
      </c>
      <c r="BC6" s="592"/>
      <c r="BD6" s="592" t="s">
        <v>1367</v>
      </c>
      <c r="BE6" s="592"/>
      <c r="BF6" s="705" t="s">
        <v>1368</v>
      </c>
      <c r="BG6" s="590"/>
      <c r="BH6" s="590"/>
    </row>
    <row r="7" spans="1:60" ht="29">
      <c r="B7" s="593"/>
      <c r="C7" s="593"/>
      <c r="D7" s="593"/>
      <c r="E7" s="593"/>
      <c r="F7" s="595" t="s">
        <v>1369</v>
      </c>
      <c r="G7" s="593"/>
      <c r="H7" s="594" t="s">
        <v>1370</v>
      </c>
      <c r="I7" s="593"/>
      <c r="J7" s="594" t="s">
        <v>1371</v>
      </c>
      <c r="K7" s="593"/>
      <c r="L7" s="594" t="s">
        <v>1372</v>
      </c>
      <c r="M7" s="593"/>
      <c r="N7" s="705" t="s">
        <v>1373</v>
      </c>
      <c r="O7" s="595"/>
      <c r="P7" s="595" t="s">
        <v>647</v>
      </c>
      <c r="Q7" s="593"/>
      <c r="R7" s="860" t="s">
        <v>1374</v>
      </c>
      <c r="S7" s="860"/>
      <c r="T7" s="860"/>
      <c r="U7" s="860"/>
      <c r="V7" s="860"/>
      <c r="W7" s="860"/>
      <c r="X7" s="860"/>
      <c r="Y7" s="594"/>
      <c r="Z7" s="594"/>
      <c r="AA7" s="594"/>
      <c r="AB7" s="594" t="s">
        <v>449</v>
      </c>
      <c r="AC7" s="594"/>
      <c r="AD7" s="594" t="s">
        <v>449</v>
      </c>
      <c r="AE7" s="594"/>
      <c r="AF7" s="594" t="s">
        <v>449</v>
      </c>
      <c r="AG7" s="594"/>
      <c r="AH7" s="594" t="s">
        <v>647</v>
      </c>
      <c r="AI7" s="594"/>
      <c r="AJ7" s="860" t="s">
        <v>1375</v>
      </c>
      <c r="AK7" s="860"/>
      <c r="AL7" s="860"/>
      <c r="AM7" s="860"/>
      <c r="AN7" s="860"/>
      <c r="AO7" s="860"/>
      <c r="AP7" s="860"/>
      <c r="AQ7" s="594"/>
      <c r="AR7" s="594" t="s">
        <v>449</v>
      </c>
      <c r="AS7" s="594"/>
      <c r="AT7" s="594" t="s">
        <v>449</v>
      </c>
      <c r="AU7" s="594"/>
      <c r="AV7" s="594" t="s">
        <v>449</v>
      </c>
      <c r="AW7" s="594"/>
      <c r="AX7" s="860" t="s">
        <v>1376</v>
      </c>
      <c r="AY7" s="860"/>
      <c r="AZ7" s="860"/>
      <c r="BA7" s="860"/>
      <c r="BB7" s="860"/>
      <c r="BC7" s="860"/>
      <c r="BD7" s="860"/>
      <c r="BE7" s="594"/>
      <c r="BF7" s="705" t="s">
        <v>1373</v>
      </c>
      <c r="BG7" s="593"/>
    </row>
    <row r="8" spans="1:60" ht="12.75" customHeight="1">
      <c r="B8" s="593"/>
      <c r="C8" s="593"/>
      <c r="D8" s="593"/>
      <c r="E8" s="593"/>
      <c r="F8" s="595" t="s">
        <v>1377</v>
      </c>
      <c r="G8" s="593"/>
      <c r="H8" s="594" t="s">
        <v>1378</v>
      </c>
      <c r="I8" s="593"/>
      <c r="J8" s="594" t="s">
        <v>1379</v>
      </c>
      <c r="K8" s="593"/>
      <c r="L8" s="594" t="s">
        <v>1380</v>
      </c>
      <c r="M8" s="593"/>
      <c r="N8" s="595" t="s">
        <v>1381</v>
      </c>
      <c r="O8" s="595"/>
      <c r="P8" s="595" t="s">
        <v>1382</v>
      </c>
      <c r="Q8" s="593"/>
      <c r="R8" s="594" t="s">
        <v>1383</v>
      </c>
      <c r="S8" s="594"/>
      <c r="T8" s="594" t="s">
        <v>1383</v>
      </c>
      <c r="U8" s="594"/>
      <c r="V8" s="594" t="s">
        <v>1383</v>
      </c>
      <c r="W8" s="594"/>
      <c r="X8" s="594"/>
      <c r="Y8" s="594"/>
      <c r="Z8" s="594" t="s">
        <v>449</v>
      </c>
      <c r="AA8" s="594"/>
      <c r="AB8" s="594" t="s">
        <v>1384</v>
      </c>
      <c r="AC8" s="594"/>
      <c r="AD8" s="594" t="s">
        <v>1384</v>
      </c>
      <c r="AE8" s="594"/>
      <c r="AF8" s="594" t="s">
        <v>1384</v>
      </c>
      <c r="AG8" s="594"/>
      <c r="AH8" s="594" t="s">
        <v>1385</v>
      </c>
      <c r="AI8" s="594"/>
      <c r="AJ8" s="594" t="s">
        <v>1386</v>
      </c>
      <c r="AK8" s="594"/>
      <c r="AL8" s="594" t="s">
        <v>1386</v>
      </c>
      <c r="AM8" s="594"/>
      <c r="AN8" s="594" t="s">
        <v>1386</v>
      </c>
      <c r="AO8" s="594"/>
      <c r="AP8" s="594"/>
      <c r="AQ8" s="594"/>
      <c r="AR8" s="594" t="s">
        <v>1384</v>
      </c>
      <c r="AS8" s="594"/>
      <c r="AT8" s="594" t="s">
        <v>1384</v>
      </c>
      <c r="AU8" s="594"/>
      <c r="AV8" s="594" t="s">
        <v>1384</v>
      </c>
      <c r="AW8" s="594"/>
      <c r="AX8" s="594" t="s">
        <v>1386</v>
      </c>
      <c r="AY8" s="594"/>
      <c r="AZ8" s="594" t="s">
        <v>1386</v>
      </c>
      <c r="BA8" s="594"/>
      <c r="BB8" s="594" t="s">
        <v>1386</v>
      </c>
      <c r="BC8" s="594"/>
      <c r="BD8" s="594"/>
      <c r="BE8" s="594"/>
      <c r="BF8" s="715" t="s">
        <v>1387</v>
      </c>
      <c r="BG8" s="593"/>
    </row>
    <row r="9" spans="1:60" ht="14.5">
      <c r="A9" s="592"/>
      <c r="B9" s="590"/>
      <c r="C9" s="590"/>
      <c r="D9" s="590"/>
      <c r="E9" s="590"/>
      <c r="F9" s="595" t="s">
        <v>1388</v>
      </c>
      <c r="G9" s="699"/>
      <c r="H9" s="594" t="s">
        <v>1389</v>
      </c>
      <c r="I9" s="590"/>
      <c r="J9" s="596" t="s">
        <v>1390</v>
      </c>
      <c r="K9" s="590"/>
      <c r="L9" s="596" t="s">
        <v>1391</v>
      </c>
      <c r="M9" s="590"/>
      <c r="N9" s="597" t="s">
        <v>448</v>
      </c>
      <c r="O9" s="597"/>
      <c r="P9" s="702" t="s">
        <v>1388</v>
      </c>
      <c r="Q9" s="590"/>
      <c r="R9" s="594" t="s">
        <v>1392</v>
      </c>
      <c r="S9" s="594"/>
      <c r="T9" s="592" t="s">
        <v>1393</v>
      </c>
      <c r="U9" s="592"/>
      <c r="V9" s="598" t="s">
        <v>1393</v>
      </c>
      <c r="W9" s="598"/>
      <c r="X9" s="598" t="s">
        <v>1383</v>
      </c>
      <c r="Y9" s="598"/>
      <c r="Z9" s="598" t="s">
        <v>1394</v>
      </c>
      <c r="AA9" s="598"/>
      <c r="AB9" s="594" t="s">
        <v>1392</v>
      </c>
      <c r="AC9" s="594"/>
      <c r="AD9" s="592" t="s">
        <v>1393</v>
      </c>
      <c r="AE9" s="592"/>
      <c r="AF9" s="598" t="s">
        <v>1393</v>
      </c>
      <c r="AG9" s="598"/>
      <c r="AH9" s="598" t="s">
        <v>1395</v>
      </c>
      <c r="AI9" s="598"/>
      <c r="AJ9" s="594" t="s">
        <v>1392</v>
      </c>
      <c r="AK9" s="594"/>
      <c r="AL9" s="592" t="s">
        <v>1393</v>
      </c>
      <c r="AM9" s="592"/>
      <c r="AN9" s="598" t="s">
        <v>1393</v>
      </c>
      <c r="AO9" s="598"/>
      <c r="AP9" s="598" t="s">
        <v>1386</v>
      </c>
      <c r="AQ9" s="598"/>
      <c r="AR9" s="594" t="s">
        <v>1392</v>
      </c>
      <c r="AS9" s="594"/>
      <c r="AT9" s="592" t="s">
        <v>1393</v>
      </c>
      <c r="AU9" s="592"/>
      <c r="AV9" s="598" t="s">
        <v>1393</v>
      </c>
      <c r="AW9" s="598"/>
      <c r="AX9" s="594" t="s">
        <v>1392</v>
      </c>
      <c r="AY9" s="594"/>
      <c r="AZ9" s="592" t="s">
        <v>1393</v>
      </c>
      <c r="BA9" s="592"/>
      <c r="BB9" s="598" t="s">
        <v>1393</v>
      </c>
      <c r="BC9" s="598"/>
      <c r="BD9" s="598" t="s">
        <v>1386</v>
      </c>
      <c r="BE9" s="598"/>
      <c r="BF9" s="716">
        <f>1/(1-(0.21+0.0884-(0.21*0.0884)))</f>
        <v>1.3885726029071155</v>
      </c>
      <c r="BG9" s="592"/>
      <c r="BH9" s="592"/>
    </row>
    <row r="10" spans="1:60" ht="15" thickBot="1">
      <c r="A10" s="324" t="s">
        <v>100</v>
      </c>
      <c r="B10" s="599" t="s">
        <v>1101</v>
      </c>
      <c r="C10" s="599"/>
      <c r="D10" s="599"/>
      <c r="E10" s="599"/>
      <c r="F10" s="604" t="s">
        <v>1079</v>
      </c>
      <c r="G10" s="703"/>
      <c r="H10" s="704">
        <v>43100</v>
      </c>
      <c r="I10" s="599"/>
      <c r="J10" s="600">
        <v>43100</v>
      </c>
      <c r="K10" s="599"/>
      <c r="L10" s="600">
        <v>43100</v>
      </c>
      <c r="M10" s="599"/>
      <c r="N10" s="600">
        <v>43100</v>
      </c>
      <c r="O10" s="600"/>
      <c r="P10" s="704" t="s">
        <v>1396</v>
      </c>
      <c r="Q10" s="599"/>
      <c r="R10" s="601" t="s">
        <v>1397</v>
      </c>
      <c r="S10" s="601"/>
      <c r="T10" s="602" t="s">
        <v>1397</v>
      </c>
      <c r="U10" s="602"/>
      <c r="V10" s="603" t="s">
        <v>1398</v>
      </c>
      <c r="W10" s="603"/>
      <c r="X10" s="603" t="s">
        <v>1399</v>
      </c>
      <c r="Y10" s="603"/>
      <c r="Z10" s="603" t="s">
        <v>1400</v>
      </c>
      <c r="AA10" s="603"/>
      <c r="AB10" s="601" t="s">
        <v>1397</v>
      </c>
      <c r="AC10" s="601"/>
      <c r="AD10" s="602" t="s">
        <v>1397</v>
      </c>
      <c r="AE10" s="602"/>
      <c r="AF10" s="603" t="s">
        <v>1398</v>
      </c>
      <c r="AG10" s="603"/>
      <c r="AH10" s="603" t="s">
        <v>1401</v>
      </c>
      <c r="AI10" s="603"/>
      <c r="AJ10" s="601" t="s">
        <v>1397</v>
      </c>
      <c r="AK10" s="601"/>
      <c r="AL10" s="602" t="s">
        <v>1397</v>
      </c>
      <c r="AM10" s="602"/>
      <c r="AN10" s="603" t="s">
        <v>1398</v>
      </c>
      <c r="AO10" s="603"/>
      <c r="AP10" s="603" t="s">
        <v>1399</v>
      </c>
      <c r="AQ10" s="603"/>
      <c r="AR10" s="601" t="s">
        <v>1397</v>
      </c>
      <c r="AS10" s="601"/>
      <c r="AT10" s="602" t="s">
        <v>1397</v>
      </c>
      <c r="AU10" s="602"/>
      <c r="AV10" s="603" t="s">
        <v>1398</v>
      </c>
      <c r="AW10" s="603"/>
      <c r="AX10" s="601" t="s">
        <v>1397</v>
      </c>
      <c r="AY10" s="601"/>
      <c r="AZ10" s="602" t="s">
        <v>1397</v>
      </c>
      <c r="BA10" s="602"/>
      <c r="BB10" s="603" t="s">
        <v>1398</v>
      </c>
      <c r="BC10" s="603"/>
      <c r="BD10" s="603" t="s">
        <v>1399</v>
      </c>
      <c r="BE10" s="603"/>
      <c r="BF10" s="704"/>
      <c r="BG10" s="604" t="s">
        <v>594</v>
      </c>
      <c r="BH10" s="618" t="s">
        <v>100</v>
      </c>
    </row>
    <row r="11" spans="1:60" ht="14.5">
      <c r="A11" s="592"/>
      <c r="B11" s="590"/>
      <c r="C11" s="590"/>
      <c r="D11" s="590"/>
      <c r="E11" s="590"/>
      <c r="F11" s="702"/>
      <c r="G11" s="590"/>
      <c r="H11" s="699"/>
      <c r="I11" s="590"/>
      <c r="J11" s="590"/>
      <c r="K11" s="590"/>
      <c r="L11" s="590"/>
      <c r="M11" s="590"/>
      <c r="N11" s="590"/>
      <c r="O11" s="590"/>
      <c r="P11" s="699"/>
      <c r="Q11" s="590"/>
      <c r="R11" s="594"/>
      <c r="S11" s="594"/>
      <c r="T11" s="605"/>
      <c r="U11" s="605"/>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6"/>
      <c r="AY11" s="606"/>
      <c r="AZ11" s="606"/>
      <c r="BA11" s="606"/>
      <c r="BB11" s="606"/>
      <c r="BC11" s="606"/>
      <c r="BD11" s="606"/>
      <c r="BE11" s="606"/>
      <c r="BG11" s="592"/>
      <c r="BH11" s="592"/>
    </row>
    <row r="12" spans="1:60" ht="14.5">
      <c r="A12" s="592">
        <v>100</v>
      </c>
      <c r="B12" s="590" t="s">
        <v>1402</v>
      </c>
      <c r="C12" s="590"/>
      <c r="D12" s="699" t="s">
        <v>1403</v>
      </c>
      <c r="E12" s="590"/>
      <c r="F12" s="702" t="s">
        <v>1404</v>
      </c>
      <c r="G12" s="590"/>
      <c r="H12" s="607">
        <f>+H26</f>
        <v>0</v>
      </c>
      <c r="I12" s="590"/>
      <c r="J12" s="607">
        <f>+J26</f>
        <v>-1695727972</v>
      </c>
      <c r="K12" s="590"/>
      <c r="L12" s="607">
        <f>+L26</f>
        <v>-1087798598</v>
      </c>
      <c r="M12" s="590"/>
      <c r="N12" s="607">
        <f>+N26</f>
        <v>-607929374</v>
      </c>
      <c r="O12" s="590"/>
      <c r="P12" s="702" t="s">
        <v>1405</v>
      </c>
      <c r="Q12" s="590"/>
      <c r="R12" s="607">
        <f>R26</f>
        <v>-607929374</v>
      </c>
      <c r="S12" s="607"/>
      <c r="T12" s="607">
        <f>T26</f>
        <v>0</v>
      </c>
      <c r="U12" s="607"/>
      <c r="V12" s="607">
        <f>V26</f>
        <v>0</v>
      </c>
      <c r="W12" s="607"/>
      <c r="X12" s="607">
        <f>SUM(R12:V12)</f>
        <v>-607929374</v>
      </c>
      <c r="Y12" s="607"/>
      <c r="Z12" s="609" t="s">
        <v>1406</v>
      </c>
      <c r="AA12" s="607"/>
      <c r="AB12" s="607">
        <f>AB26</f>
        <v>-29903357.850686599</v>
      </c>
      <c r="AC12" s="607"/>
      <c r="AD12" s="607">
        <f>AD26</f>
        <v>0</v>
      </c>
      <c r="AE12" s="607"/>
      <c r="AF12" s="607">
        <f>AF26</f>
        <v>0</v>
      </c>
      <c r="AG12" s="607"/>
      <c r="AH12" s="702" t="s">
        <v>1407</v>
      </c>
      <c r="AI12" s="607"/>
      <c r="AJ12" s="607">
        <f>AJ26</f>
        <v>-578026016.06128585</v>
      </c>
      <c r="AK12" s="607"/>
      <c r="AL12" s="607">
        <f>AL26</f>
        <v>0</v>
      </c>
      <c r="AM12" s="607"/>
      <c r="AN12" s="607">
        <f>AN26</f>
        <v>0</v>
      </c>
      <c r="AO12" s="607"/>
      <c r="AP12" s="607">
        <f>SUM(AJ12:AN12)</f>
        <v>-578026016.06128585</v>
      </c>
      <c r="AQ12" s="607"/>
      <c r="AR12" s="607">
        <f>AR26</f>
        <v>-9982178.8929467555</v>
      </c>
      <c r="AS12" s="607"/>
      <c r="AT12" s="607">
        <f>AT26</f>
        <v>0</v>
      </c>
      <c r="AU12" s="607"/>
      <c r="AV12" s="607">
        <f>AV26</f>
        <v>0</v>
      </c>
      <c r="AW12" s="607"/>
      <c r="AX12" s="607">
        <f>AX26</f>
        <v>-568043837.16833913</v>
      </c>
      <c r="AY12" s="607"/>
      <c r="AZ12" s="607">
        <f>AZ26</f>
        <v>0</v>
      </c>
      <c r="BA12" s="607"/>
      <c r="BB12" s="607">
        <f>BB26</f>
        <v>0</v>
      </c>
      <c r="BC12" s="607"/>
      <c r="BD12" s="607">
        <f>SUM(AX12:BB12)</f>
        <v>-568043837.16833913</v>
      </c>
      <c r="BE12" s="607"/>
      <c r="BF12" s="607">
        <f>+BF26</f>
        <v>-788770110</v>
      </c>
      <c r="BG12" s="592"/>
      <c r="BH12" s="592">
        <f t="shared" ref="BH12:BH17" si="0">A12</f>
        <v>100</v>
      </c>
    </row>
    <row r="13" spans="1:60" ht="14.5">
      <c r="A13" s="592">
        <f>+A12+1</f>
        <v>101</v>
      </c>
      <c r="B13" s="590" t="s">
        <v>791</v>
      </c>
      <c r="C13" s="590"/>
      <c r="D13" s="699" t="s">
        <v>1408</v>
      </c>
      <c r="E13" s="590"/>
      <c r="F13" s="702" t="s">
        <v>1404</v>
      </c>
      <c r="G13" s="590"/>
      <c r="H13" s="607">
        <f>+H34</f>
        <v>0</v>
      </c>
      <c r="I13" s="590"/>
      <c r="J13" s="607">
        <f>+J34</f>
        <v>0</v>
      </c>
      <c r="K13" s="590"/>
      <c r="L13" s="607">
        <f>+L34</f>
        <v>0</v>
      </c>
      <c r="M13" s="590"/>
      <c r="N13" s="607">
        <f>+N34</f>
        <v>0</v>
      </c>
      <c r="O13" s="590"/>
      <c r="P13" s="702" t="s">
        <v>1405</v>
      </c>
      <c r="Q13" s="590"/>
      <c r="R13" s="607">
        <f>R34</f>
        <v>0</v>
      </c>
      <c r="S13" s="607"/>
      <c r="T13" s="607">
        <f>T34</f>
        <v>0</v>
      </c>
      <c r="U13" s="607"/>
      <c r="V13" s="607">
        <f>V34</f>
        <v>0</v>
      </c>
      <c r="W13" s="607"/>
      <c r="X13" s="607">
        <f t="shared" ref="X13:X16" si="1">SUM(R13:V13)</f>
        <v>0</v>
      </c>
      <c r="Y13" s="607"/>
      <c r="Z13" s="609" t="s">
        <v>1406</v>
      </c>
      <c r="AA13" s="607"/>
      <c r="AB13" s="607">
        <f>AB34</f>
        <v>0</v>
      </c>
      <c r="AC13" s="607"/>
      <c r="AD13" s="607">
        <f>AD34</f>
        <v>0</v>
      </c>
      <c r="AE13" s="607"/>
      <c r="AF13" s="607">
        <f>AF34</f>
        <v>0</v>
      </c>
      <c r="AG13" s="607"/>
      <c r="AH13" s="702" t="s">
        <v>1407</v>
      </c>
      <c r="AI13" s="607"/>
      <c r="AJ13" s="607">
        <f>AJ34</f>
        <v>0</v>
      </c>
      <c r="AK13" s="607"/>
      <c r="AL13" s="607">
        <f>AL34</f>
        <v>0</v>
      </c>
      <c r="AM13" s="607"/>
      <c r="AN13" s="607">
        <f>AN34</f>
        <v>0</v>
      </c>
      <c r="AO13" s="607"/>
      <c r="AP13" s="607">
        <f t="shared" ref="AP13:AP16" si="2">SUM(AJ13:AN13)</f>
        <v>0</v>
      </c>
      <c r="AQ13" s="607"/>
      <c r="AR13" s="607">
        <f>AR34</f>
        <v>0</v>
      </c>
      <c r="AS13" s="607"/>
      <c r="AT13" s="607">
        <f>AT34</f>
        <v>0</v>
      </c>
      <c r="AU13" s="607"/>
      <c r="AV13" s="607">
        <f>AV34</f>
        <v>0</v>
      </c>
      <c r="AW13" s="607"/>
      <c r="AX13" s="607">
        <f>AX34</f>
        <v>0</v>
      </c>
      <c r="AY13" s="607"/>
      <c r="AZ13" s="607">
        <f>AZ34</f>
        <v>0</v>
      </c>
      <c r="BA13" s="607"/>
      <c r="BB13" s="607">
        <f>BB34</f>
        <v>0</v>
      </c>
      <c r="BC13" s="607"/>
      <c r="BD13" s="607">
        <f t="shared" ref="BD13:BD16" si="3">SUM(AX13:BB13)</f>
        <v>0</v>
      </c>
      <c r="BE13" s="607"/>
      <c r="BF13" s="607">
        <f>+BF34</f>
        <v>0</v>
      </c>
      <c r="BG13" s="592"/>
      <c r="BH13" s="592">
        <f t="shared" si="0"/>
        <v>101</v>
      </c>
    </row>
    <row r="14" spans="1:60" ht="14.5">
      <c r="A14" s="592">
        <f t="shared" ref="A14:A15" si="4">+A13+1</f>
        <v>102</v>
      </c>
      <c r="B14" s="590" t="s">
        <v>1409</v>
      </c>
      <c r="C14" s="590"/>
      <c r="D14" s="699" t="s">
        <v>1410</v>
      </c>
      <c r="E14" s="590"/>
      <c r="F14" s="702" t="s">
        <v>1404</v>
      </c>
      <c r="G14" s="590"/>
      <c r="H14" s="607">
        <f>+H42</f>
        <v>0</v>
      </c>
      <c r="I14" s="590"/>
      <c r="J14" s="607">
        <f>+J42</f>
        <v>-346763385</v>
      </c>
      <c r="K14" s="590"/>
      <c r="L14" s="607">
        <f>+L42</f>
        <v>-206675379</v>
      </c>
      <c r="M14" s="590"/>
      <c r="N14" s="607">
        <f>+N42</f>
        <v>-140088006</v>
      </c>
      <c r="O14" s="590"/>
      <c r="P14" s="702" t="s">
        <v>1405</v>
      </c>
      <c r="Q14" s="590"/>
      <c r="R14" s="607">
        <f>R42</f>
        <v>0</v>
      </c>
      <c r="S14" s="607"/>
      <c r="T14" s="607">
        <f>T42</f>
        <v>-140088006</v>
      </c>
      <c r="U14" s="607"/>
      <c r="V14" s="607">
        <f>V42</f>
        <v>0</v>
      </c>
      <c r="W14" s="607"/>
      <c r="X14" s="607">
        <f t="shared" si="1"/>
        <v>-140088006</v>
      </c>
      <c r="Y14" s="607"/>
      <c r="Z14" s="609" t="s">
        <v>1411</v>
      </c>
      <c r="AA14" s="607"/>
      <c r="AB14" s="607">
        <f>AB42</f>
        <v>0</v>
      </c>
      <c r="AC14" s="607"/>
      <c r="AD14" s="607">
        <f>AD42</f>
        <v>-35245329.751651302</v>
      </c>
      <c r="AE14" s="607"/>
      <c r="AF14" s="607">
        <f>AF42</f>
        <v>0</v>
      </c>
      <c r="AG14" s="607"/>
      <c r="AH14" s="702" t="s">
        <v>1407</v>
      </c>
      <c r="AI14" s="607"/>
      <c r="AJ14" s="607">
        <f>AJ42</f>
        <v>0</v>
      </c>
      <c r="AK14" s="607"/>
      <c r="AL14" s="607">
        <f>AL42</f>
        <v>-104842676.26941842</v>
      </c>
      <c r="AM14" s="607"/>
      <c r="AN14" s="607">
        <f>AN42</f>
        <v>0</v>
      </c>
      <c r="AO14" s="607"/>
      <c r="AP14" s="607">
        <f t="shared" si="2"/>
        <v>-104842676.26941842</v>
      </c>
      <c r="AQ14" s="607"/>
      <c r="AR14" s="607">
        <f>AR42</f>
        <v>0</v>
      </c>
      <c r="AS14" s="607"/>
      <c r="AT14" s="607">
        <f>AT42</f>
        <v>-14324173.144193165</v>
      </c>
      <c r="AU14" s="607"/>
      <c r="AV14" s="607">
        <f>AV42</f>
        <v>0</v>
      </c>
      <c r="AW14" s="607"/>
      <c r="AX14" s="607">
        <f>AX42</f>
        <v>0</v>
      </c>
      <c r="AY14" s="607"/>
      <c r="AZ14" s="607">
        <f>AZ42</f>
        <v>-90518503.125225246</v>
      </c>
      <c r="BA14" s="607"/>
      <c r="BB14" s="607">
        <f>BB42</f>
        <v>0</v>
      </c>
      <c r="BC14" s="607"/>
      <c r="BD14" s="607">
        <f t="shared" si="3"/>
        <v>-90518503.125225246</v>
      </c>
      <c r="BE14" s="607"/>
      <c r="BF14" s="607">
        <f>+BF42</f>
        <v>-125691513</v>
      </c>
      <c r="BG14" s="592"/>
      <c r="BH14" s="592">
        <f t="shared" si="0"/>
        <v>102</v>
      </c>
    </row>
    <row r="15" spans="1:60" ht="14.5">
      <c r="A15" s="592">
        <f t="shared" si="4"/>
        <v>103</v>
      </c>
      <c r="B15" s="590" t="s">
        <v>1412</v>
      </c>
      <c r="C15" s="590"/>
      <c r="D15" s="699" t="s">
        <v>1413</v>
      </c>
      <c r="E15" s="590"/>
      <c r="F15" s="702" t="s">
        <v>1414</v>
      </c>
      <c r="G15" s="590"/>
      <c r="H15" s="607">
        <f>+H102</f>
        <v>0</v>
      </c>
      <c r="I15" s="590"/>
      <c r="J15" s="607">
        <f>+J102</f>
        <v>9730734</v>
      </c>
      <c r="K15" s="590"/>
      <c r="L15" s="607">
        <f>+L102</f>
        <v>5840030</v>
      </c>
      <c r="M15" s="590"/>
      <c r="N15" s="607">
        <f>+N102</f>
        <v>3890704</v>
      </c>
      <c r="O15" s="590"/>
      <c r="P15" s="702" t="s">
        <v>1415</v>
      </c>
      <c r="Q15" s="590"/>
      <c r="R15" s="607">
        <f>R102</f>
        <v>0</v>
      </c>
      <c r="S15" s="607"/>
      <c r="T15" s="607">
        <f>T102</f>
        <v>0</v>
      </c>
      <c r="U15" s="607"/>
      <c r="V15" s="607">
        <f>V102</f>
        <v>3890704</v>
      </c>
      <c r="W15" s="607"/>
      <c r="X15" s="607">
        <f>SUM(R15:V15)</f>
        <v>3890704</v>
      </c>
      <c r="Y15" s="607"/>
      <c r="Z15" s="609" t="s">
        <v>1411</v>
      </c>
      <c r="AA15" s="607"/>
      <c r="AB15" s="607">
        <f>AB102</f>
        <v>0</v>
      </c>
      <c r="AC15" s="607"/>
      <c r="AD15" s="607">
        <f>AD102</f>
        <v>0</v>
      </c>
      <c r="AE15" s="607"/>
      <c r="AF15" s="607">
        <f>AF102</f>
        <v>-201654.6052043424</v>
      </c>
      <c r="AG15" s="607"/>
      <c r="AH15" s="702" t="s">
        <v>1416</v>
      </c>
      <c r="AI15" s="607"/>
      <c r="AJ15" s="607">
        <f>AJ102</f>
        <v>0</v>
      </c>
      <c r="AK15" s="607"/>
      <c r="AL15" s="607">
        <f>AL102</f>
        <v>0</v>
      </c>
      <c r="AM15" s="607"/>
      <c r="AN15" s="607">
        <f>AN102</f>
        <v>4092358.741047631</v>
      </c>
      <c r="AO15" s="607"/>
      <c r="AP15" s="607">
        <f t="shared" si="2"/>
        <v>4092358.741047631</v>
      </c>
      <c r="AQ15" s="607"/>
      <c r="AR15" s="607">
        <f>AR102</f>
        <v>0</v>
      </c>
      <c r="AS15" s="607"/>
      <c r="AT15" s="607">
        <f>AT102</f>
        <v>0</v>
      </c>
      <c r="AU15" s="607"/>
      <c r="AV15" s="607">
        <f>AV102</f>
        <v>559120.1093791672</v>
      </c>
      <c r="AW15" s="607"/>
      <c r="AX15" s="607">
        <f>AX102</f>
        <v>0</v>
      </c>
      <c r="AY15" s="607"/>
      <c r="AZ15" s="607">
        <f>AZ102</f>
        <v>0</v>
      </c>
      <c r="BA15" s="607"/>
      <c r="BB15" s="607">
        <f>BB102</f>
        <v>3533238.6316684629</v>
      </c>
      <c r="BC15" s="607"/>
      <c r="BD15" s="607">
        <f t="shared" si="3"/>
        <v>3533238.6316684629</v>
      </c>
      <c r="BE15" s="607"/>
      <c r="BF15" s="607">
        <f>+BF102</f>
        <v>4906158</v>
      </c>
      <c r="BG15" s="592"/>
      <c r="BH15" s="592">
        <f t="shared" si="0"/>
        <v>103</v>
      </c>
    </row>
    <row r="16" spans="1:60" ht="14.5">
      <c r="A16" s="592">
        <f>+A15+1</f>
        <v>104</v>
      </c>
      <c r="B16" s="590" t="s">
        <v>1417</v>
      </c>
      <c r="C16" s="590" t="s">
        <v>1418</v>
      </c>
      <c r="D16" s="699" t="s">
        <v>1419</v>
      </c>
      <c r="E16" s="590"/>
      <c r="F16" s="702" t="s">
        <v>1420</v>
      </c>
      <c r="G16" s="590"/>
      <c r="H16" s="610">
        <f>+H116</f>
        <v>0</v>
      </c>
      <c r="I16" s="590"/>
      <c r="J16" s="610">
        <f>+J116</f>
        <v>336430551</v>
      </c>
      <c r="K16" s="590"/>
      <c r="L16" s="610">
        <f>+L116</f>
        <v>201858330</v>
      </c>
      <c r="M16" s="590"/>
      <c r="N16" s="610">
        <f>+N116</f>
        <v>134572220</v>
      </c>
      <c r="O16" s="590"/>
      <c r="P16" s="702" t="s">
        <v>1415</v>
      </c>
      <c r="Q16" s="590"/>
      <c r="R16" s="610">
        <f>R116</f>
        <v>134572220</v>
      </c>
      <c r="S16" s="610"/>
      <c r="T16" s="610">
        <f t="shared" ref="T16" si="5">T116</f>
        <v>0</v>
      </c>
      <c r="U16" s="610"/>
      <c r="V16" s="610">
        <f t="shared" ref="V16" si="6">V116</f>
        <v>0</v>
      </c>
      <c r="W16" s="610"/>
      <c r="X16" s="610">
        <f t="shared" si="1"/>
        <v>134572220</v>
      </c>
      <c r="Y16" s="607"/>
      <c r="Z16" s="609" t="s">
        <v>1406</v>
      </c>
      <c r="AA16" s="607"/>
      <c r="AB16" s="610">
        <f>AB116</f>
        <v>6619455.2183556501</v>
      </c>
      <c r="AC16" s="610"/>
      <c r="AD16" s="610">
        <f t="shared" ref="AD16:AF16" si="7">AD116</f>
        <v>0</v>
      </c>
      <c r="AE16" s="610"/>
      <c r="AF16" s="610">
        <f t="shared" si="7"/>
        <v>0</v>
      </c>
      <c r="AG16" s="607"/>
      <c r="AH16" s="702" t="s">
        <v>1416</v>
      </c>
      <c r="AI16" s="607"/>
      <c r="AJ16" s="610">
        <f>AJ116</f>
        <v>127952764.98767835</v>
      </c>
      <c r="AK16" s="610"/>
      <c r="AL16" s="610">
        <f t="shared" ref="AL16" si="8">AL116</f>
        <v>0</v>
      </c>
      <c r="AM16" s="610"/>
      <c r="AN16" s="610">
        <f t="shared" ref="AN16" si="9">AN116</f>
        <v>0</v>
      </c>
      <c r="AO16" s="610"/>
      <c r="AP16" s="610">
        <f t="shared" si="2"/>
        <v>127952764.98767835</v>
      </c>
      <c r="AQ16" s="607"/>
      <c r="AR16" s="610">
        <f>AR116</f>
        <v>2209671.1178206801</v>
      </c>
      <c r="AS16" s="610"/>
      <c r="AT16" s="610">
        <f t="shared" ref="AT16:AV16" si="10">AT116</f>
        <v>0</v>
      </c>
      <c r="AU16" s="610"/>
      <c r="AV16" s="610">
        <f t="shared" si="10"/>
        <v>0</v>
      </c>
      <c r="AW16" s="607"/>
      <c r="AX16" s="610">
        <f>AX116</f>
        <v>125743093.86985767</v>
      </c>
      <c r="AY16" s="610"/>
      <c r="AZ16" s="610">
        <f t="shared" ref="AZ16" si="11">AZ116</f>
        <v>0</v>
      </c>
      <c r="BA16" s="610"/>
      <c r="BB16" s="610">
        <f t="shared" ref="BB16" si="12">BB116</f>
        <v>0</v>
      </c>
      <c r="BC16" s="610"/>
      <c r="BD16" s="610">
        <f t="shared" si="3"/>
        <v>125743093.86985767</v>
      </c>
      <c r="BE16" s="607"/>
      <c r="BF16" s="610">
        <f>+BF116</f>
        <v>174603415</v>
      </c>
      <c r="BG16" s="592"/>
      <c r="BH16" s="592">
        <f t="shared" si="0"/>
        <v>104</v>
      </c>
    </row>
    <row r="17" spans="1:60" ht="14.5">
      <c r="A17" s="592">
        <f>+A16+1</f>
        <v>105</v>
      </c>
      <c r="B17" s="590" t="s">
        <v>465</v>
      </c>
      <c r="C17" s="590"/>
      <c r="D17" s="592"/>
      <c r="E17" s="592"/>
      <c r="F17" s="592"/>
      <c r="G17" s="592"/>
      <c r="H17" s="708">
        <f>SUM(H12:H16)</f>
        <v>0</v>
      </c>
      <c r="I17" s="592"/>
      <c r="J17" s="608">
        <f>SUM(J12:J16)</f>
        <v>-1696330072</v>
      </c>
      <c r="K17" s="592"/>
      <c r="L17" s="608">
        <f>SUM(L12:L16)</f>
        <v>-1086775617</v>
      </c>
      <c r="M17" s="592"/>
      <c r="N17" s="608">
        <f>SUM(N12:N16)</f>
        <v>-609554456</v>
      </c>
      <c r="O17" s="592"/>
      <c r="P17" s="592"/>
      <c r="Q17" s="592"/>
      <c r="R17" s="608">
        <f>SUM(R12:R16)</f>
        <v>-473357154</v>
      </c>
      <c r="S17" s="608"/>
      <c r="T17" s="608">
        <f>SUM(T12:T16)</f>
        <v>-140088006</v>
      </c>
      <c r="U17" s="608"/>
      <c r="V17" s="608">
        <f>SUM(V12:V16)</f>
        <v>3890704</v>
      </c>
      <c r="W17" s="608"/>
      <c r="X17" s="608">
        <f>SUM(X12:X16)</f>
        <v>-609554456</v>
      </c>
      <c r="Y17" s="608"/>
      <c r="Z17" s="708"/>
      <c r="AA17" s="608"/>
      <c r="AB17" s="608">
        <f>SUM(AB12:AB16)</f>
        <v>-23283902.632330947</v>
      </c>
      <c r="AC17" s="608"/>
      <c r="AD17" s="608">
        <f>SUM(AD12:AD16)</f>
        <v>-35245329.751651302</v>
      </c>
      <c r="AE17" s="608"/>
      <c r="AF17" s="608">
        <f>SUM(AF12:AF16)</f>
        <v>-201654.6052043424</v>
      </c>
      <c r="AG17" s="608"/>
      <c r="AH17" s="592"/>
      <c r="AI17" s="608"/>
      <c r="AJ17" s="608">
        <f>SUM(AJ12:AJ16)</f>
        <v>-450073251.0736075</v>
      </c>
      <c r="AK17" s="608"/>
      <c r="AL17" s="608">
        <f>SUM(AL12:AL16)</f>
        <v>-104842676.26941842</v>
      </c>
      <c r="AM17" s="608"/>
      <c r="AN17" s="608">
        <f>SUM(AN12:AN16)</f>
        <v>4092358.741047631</v>
      </c>
      <c r="AO17" s="608"/>
      <c r="AP17" s="608">
        <f>SUM(AP12:AP16)</f>
        <v>-550823568.6019783</v>
      </c>
      <c r="AQ17" s="608"/>
      <c r="AR17" s="608">
        <f>SUM(AR12:AR16)</f>
        <v>-7772507.7751260754</v>
      </c>
      <c r="AS17" s="608"/>
      <c r="AT17" s="608">
        <f>SUM(AT12:AT16)</f>
        <v>-14324173.144193165</v>
      </c>
      <c r="AU17" s="608"/>
      <c r="AV17" s="608">
        <f>SUM(AV12:AV16)</f>
        <v>559120.1093791672</v>
      </c>
      <c r="AW17" s="608"/>
      <c r="AX17" s="608">
        <f>SUM(AX12:AX16)</f>
        <v>-442300743.29848146</v>
      </c>
      <c r="AY17" s="608"/>
      <c r="AZ17" s="608">
        <f>SUM(AZ12:AZ16)</f>
        <v>-90518503.125225246</v>
      </c>
      <c r="BA17" s="608"/>
      <c r="BB17" s="608">
        <f>SUM(BB12:BB16)</f>
        <v>3533238.6316684629</v>
      </c>
      <c r="BC17" s="608"/>
      <c r="BD17" s="608">
        <f>SUM(BD12:BD16)</f>
        <v>-529286007.7920382</v>
      </c>
      <c r="BE17" s="608"/>
      <c r="BF17" s="708">
        <f>SUM(BF12:BF16)</f>
        <v>-734952050</v>
      </c>
      <c r="BG17" s="612"/>
      <c r="BH17" s="592">
        <f t="shared" si="0"/>
        <v>105</v>
      </c>
    </row>
    <row r="18" spans="1:60" ht="14.5">
      <c r="A18" s="592"/>
      <c r="B18" s="590"/>
      <c r="C18" s="590"/>
      <c r="D18" s="592"/>
      <c r="E18" s="592"/>
      <c r="F18" s="592"/>
      <c r="G18" s="592"/>
      <c r="H18" s="592"/>
      <c r="I18" s="592"/>
      <c r="J18" s="665"/>
      <c r="K18" s="666"/>
      <c r="L18" s="665"/>
      <c r="M18" s="666"/>
      <c r="N18" s="665"/>
      <c r="O18" s="666"/>
      <c r="P18" s="592"/>
      <c r="Q18" s="592"/>
      <c r="R18" s="590"/>
      <c r="S18" s="590"/>
      <c r="T18" s="590"/>
      <c r="U18" s="590"/>
      <c r="V18" s="590"/>
      <c r="W18" s="590"/>
      <c r="X18" s="590"/>
      <c r="Y18" s="590"/>
      <c r="Z18" s="699"/>
      <c r="AA18" s="590"/>
      <c r="AB18" s="590"/>
      <c r="AC18" s="590"/>
      <c r="AD18" s="590"/>
      <c r="AE18" s="590"/>
      <c r="AF18" s="590"/>
      <c r="AG18" s="590"/>
      <c r="AH18" s="592"/>
      <c r="AI18" s="590"/>
      <c r="AJ18" s="590"/>
      <c r="AK18" s="590"/>
      <c r="AL18" s="590"/>
      <c r="AM18" s="590"/>
      <c r="AN18" s="590"/>
      <c r="AO18" s="590"/>
      <c r="AP18" s="590"/>
      <c r="AQ18" s="590"/>
      <c r="AR18" s="590"/>
      <c r="AS18" s="590"/>
      <c r="AT18" s="590"/>
      <c r="AU18" s="590"/>
      <c r="AV18" s="590"/>
      <c r="AW18" s="590"/>
      <c r="AX18" s="590"/>
      <c r="AY18" s="590"/>
      <c r="AZ18" s="590"/>
      <c r="BA18" s="590"/>
      <c r="BB18" s="590"/>
      <c r="BC18" s="590"/>
      <c r="BD18" s="590"/>
      <c r="BE18" s="590"/>
      <c r="BF18" s="592"/>
      <c r="BG18" s="612"/>
      <c r="BH18" s="592"/>
    </row>
    <row r="19" spans="1:60" ht="14.5">
      <c r="A19" s="592">
        <f>+A17+1</f>
        <v>106</v>
      </c>
      <c r="B19" s="613" t="s">
        <v>1421</v>
      </c>
      <c r="C19" s="613"/>
      <c r="D19" s="591"/>
      <c r="E19" s="592"/>
      <c r="F19" s="592"/>
      <c r="G19" s="592"/>
      <c r="H19" s="592"/>
      <c r="I19" s="592"/>
      <c r="J19" s="592"/>
      <c r="K19" s="592"/>
      <c r="L19" s="592"/>
      <c r="M19" s="592"/>
      <c r="N19" s="592"/>
      <c r="O19" s="592"/>
      <c r="P19" s="592"/>
      <c r="Q19" s="592"/>
      <c r="R19" s="590"/>
      <c r="S19" s="590"/>
      <c r="T19" s="590"/>
      <c r="U19" s="590"/>
      <c r="V19" s="590"/>
      <c r="W19" s="590"/>
      <c r="X19" s="590"/>
      <c r="Y19" s="590"/>
      <c r="Z19" s="699"/>
      <c r="AA19" s="590"/>
      <c r="AB19" s="590"/>
      <c r="AC19" s="590"/>
      <c r="AD19" s="590"/>
      <c r="AE19" s="590"/>
      <c r="AF19" s="590"/>
      <c r="AG19" s="590"/>
      <c r="AH19" s="592"/>
      <c r="AI19" s="590"/>
      <c r="AJ19" s="590"/>
      <c r="AK19" s="590"/>
      <c r="AL19" s="590"/>
      <c r="AM19" s="590"/>
      <c r="AN19" s="590"/>
      <c r="AO19" s="590"/>
      <c r="AP19" s="590"/>
      <c r="AQ19" s="590"/>
      <c r="AR19" s="590"/>
      <c r="AS19" s="590"/>
      <c r="AT19" s="590"/>
      <c r="AU19" s="590"/>
      <c r="AV19" s="590"/>
      <c r="AW19" s="590"/>
      <c r="AX19" s="590"/>
      <c r="AY19" s="590"/>
      <c r="AZ19" s="590"/>
      <c r="BA19" s="590"/>
      <c r="BB19" s="590"/>
      <c r="BC19" s="590"/>
      <c r="BD19" s="590"/>
      <c r="BE19" s="590"/>
      <c r="BF19" s="592"/>
      <c r="BG19" s="614"/>
      <c r="BH19" s="592">
        <f>A19</f>
        <v>106</v>
      </c>
    </row>
    <row r="20" spans="1:60" ht="14.5">
      <c r="A20" s="592">
        <f>+A19+1</f>
        <v>107</v>
      </c>
      <c r="B20" s="624" t="s">
        <v>1422</v>
      </c>
      <c r="C20" s="590"/>
      <c r="D20" s="592"/>
      <c r="E20" s="592"/>
      <c r="F20" s="592"/>
      <c r="G20" s="592"/>
      <c r="H20" s="708">
        <f>+H125</f>
        <v>0</v>
      </c>
      <c r="I20" s="592"/>
      <c r="J20" s="608">
        <f>J124</f>
        <v>-22361973.694661092</v>
      </c>
      <c r="K20" s="608"/>
      <c r="L20" s="608">
        <f>L124</f>
        <v>-13417682.378914446</v>
      </c>
      <c r="M20" s="608"/>
      <c r="N20" s="608">
        <f>N124</f>
        <v>-8944291.3157466538</v>
      </c>
      <c r="O20" s="608"/>
      <c r="P20" s="702" t="s">
        <v>1423</v>
      </c>
      <c r="Q20" s="592"/>
      <c r="R20" s="608">
        <f>R124</f>
        <v>0</v>
      </c>
      <c r="S20" s="608"/>
      <c r="T20" s="608">
        <f>T124</f>
        <v>-8944291.3157466538</v>
      </c>
      <c r="U20" s="608"/>
      <c r="V20" s="608">
        <f>V124</f>
        <v>0</v>
      </c>
      <c r="W20" s="608"/>
      <c r="X20" s="608">
        <f>SUM(R20:V20)</f>
        <v>-8944291.3157466538</v>
      </c>
      <c r="Y20" s="608"/>
      <c r="Z20" s="609" t="s">
        <v>1406</v>
      </c>
      <c r="AA20" s="608"/>
      <c r="AB20" s="608">
        <f>AB124</f>
        <v>0</v>
      </c>
      <c r="AC20" s="608"/>
      <c r="AD20" s="608">
        <f>AD124</f>
        <v>-2137746.3489086498</v>
      </c>
      <c r="AE20" s="608"/>
      <c r="AF20" s="608">
        <f>AF124</f>
        <v>0</v>
      </c>
      <c r="AG20" s="608"/>
      <c r="AH20" s="702" t="s">
        <v>1423</v>
      </c>
      <c r="AI20" s="608"/>
      <c r="AJ20" s="608">
        <f>AJ124</f>
        <v>0</v>
      </c>
      <c r="AK20" s="608"/>
      <c r="AL20" s="608">
        <f>AL124</f>
        <v>-6806544.9668380041</v>
      </c>
      <c r="AM20" s="608"/>
      <c r="AN20" s="608">
        <f>AN124</f>
        <v>0</v>
      </c>
      <c r="AO20" s="608"/>
      <c r="AP20" s="608">
        <f t="shared" ref="AP20:AP22" si="13">SUM(AJ20:AN20)</f>
        <v>-6806544.9668380041</v>
      </c>
      <c r="AQ20" s="608"/>
      <c r="AR20" s="608">
        <f>AR124</f>
        <v>0</v>
      </c>
      <c r="AS20" s="608"/>
      <c r="AT20" s="608">
        <f>AT124</f>
        <v>-929946.9651860015</v>
      </c>
      <c r="AU20" s="608"/>
      <c r="AV20" s="608">
        <f>AV124</f>
        <v>0</v>
      </c>
      <c r="AW20" s="608"/>
      <c r="AX20" s="608">
        <f>AX124</f>
        <v>0</v>
      </c>
      <c r="AY20" s="608"/>
      <c r="AZ20" s="608">
        <f>AZ124</f>
        <v>-5876598.0016520023</v>
      </c>
      <c r="BA20" s="608"/>
      <c r="BB20" s="608">
        <f>BB124</f>
        <v>0</v>
      </c>
      <c r="BC20" s="608"/>
      <c r="BD20" s="608">
        <f>SUM(AX20:BB20)</f>
        <v>-5876598.0016520023</v>
      </c>
      <c r="BE20" s="608"/>
      <c r="BF20" s="708">
        <f>BF125</f>
        <v>-16360800.678953011</v>
      </c>
      <c r="BG20" s="612"/>
      <c r="BH20" s="592">
        <f>A20</f>
        <v>107</v>
      </c>
    </row>
    <row r="21" spans="1:60" ht="14.5">
      <c r="A21" s="592">
        <f t="shared" ref="A21:A30" si="14">A20+1</f>
        <v>108</v>
      </c>
      <c r="B21" s="597" t="s">
        <v>127</v>
      </c>
      <c r="C21" s="590"/>
      <c r="D21" s="592"/>
      <c r="E21" s="592"/>
      <c r="F21" s="592"/>
      <c r="G21" s="592"/>
      <c r="H21" s="708">
        <f t="shared" ref="H21:H22" si="15">+H126</f>
        <v>0</v>
      </c>
      <c r="I21" s="592"/>
      <c r="J21" s="608">
        <v>0</v>
      </c>
      <c r="K21" s="608"/>
      <c r="L21" s="608">
        <v>0</v>
      </c>
      <c r="M21" s="608"/>
      <c r="N21" s="608">
        <v>0</v>
      </c>
      <c r="O21" s="608"/>
      <c r="P21" s="702" t="s">
        <v>1423</v>
      </c>
      <c r="Q21" s="592"/>
      <c r="R21" s="608">
        <f t="shared" ref="R21:R22" si="16">R125</f>
        <v>0</v>
      </c>
      <c r="S21" s="608"/>
      <c r="T21" s="608">
        <v>0</v>
      </c>
      <c r="U21" s="608"/>
      <c r="V21" s="608">
        <v>0</v>
      </c>
      <c r="W21" s="608"/>
      <c r="X21" s="608">
        <f t="shared" ref="X21:X22" si="17">SUM(R21:V21)</f>
        <v>0</v>
      </c>
      <c r="Y21" s="608"/>
      <c r="Z21" s="609" t="s">
        <v>1406</v>
      </c>
      <c r="AA21" s="608"/>
      <c r="AB21" s="608">
        <v>0</v>
      </c>
      <c r="AC21" s="608"/>
      <c r="AD21" s="608">
        <v>0</v>
      </c>
      <c r="AE21" s="608"/>
      <c r="AF21" s="608">
        <v>0</v>
      </c>
      <c r="AG21" s="608"/>
      <c r="AH21" s="702" t="s">
        <v>1423</v>
      </c>
      <c r="AI21" s="608"/>
      <c r="AJ21" s="608">
        <v>0</v>
      </c>
      <c r="AK21" s="608"/>
      <c r="AL21" s="608">
        <v>0</v>
      </c>
      <c r="AM21" s="608"/>
      <c r="AN21" s="608">
        <f t="shared" ref="AN21:AN22" si="18">AN125</f>
        <v>0</v>
      </c>
      <c r="AO21" s="608"/>
      <c r="AP21" s="608">
        <f t="shared" si="13"/>
        <v>0</v>
      </c>
      <c r="AQ21" s="608"/>
      <c r="AR21" s="608">
        <v>0</v>
      </c>
      <c r="AS21" s="608"/>
      <c r="AT21" s="608">
        <v>0</v>
      </c>
      <c r="AU21" s="608"/>
      <c r="AV21" s="608">
        <v>0</v>
      </c>
      <c r="AW21" s="608"/>
      <c r="AX21" s="608">
        <v>0</v>
      </c>
      <c r="AY21" s="608"/>
      <c r="AZ21" s="608">
        <v>0</v>
      </c>
      <c r="BA21" s="608"/>
      <c r="BB21" s="608">
        <v>0</v>
      </c>
      <c r="BC21" s="608"/>
      <c r="BD21" s="608">
        <f t="shared" ref="BD21:BD22" si="19">SUM(AX21:BB21)</f>
        <v>0</v>
      </c>
      <c r="BE21" s="608"/>
      <c r="BF21" s="708">
        <f>BF126</f>
        <v>1800105.0092228993</v>
      </c>
      <c r="BG21" s="614"/>
      <c r="BH21" s="592">
        <f>A21</f>
        <v>108</v>
      </c>
    </row>
    <row r="22" spans="1:60" ht="14.5">
      <c r="A22" s="592">
        <f t="shared" si="14"/>
        <v>109</v>
      </c>
      <c r="B22" s="597" t="s">
        <v>127</v>
      </c>
      <c r="C22" s="590"/>
      <c r="D22" s="592"/>
      <c r="E22" s="592"/>
      <c r="F22" s="592"/>
      <c r="G22" s="592"/>
      <c r="H22" s="717">
        <f t="shared" si="15"/>
        <v>0</v>
      </c>
      <c r="I22" s="592"/>
      <c r="J22" s="611">
        <v>0</v>
      </c>
      <c r="K22" s="611"/>
      <c r="L22" s="611">
        <v>0</v>
      </c>
      <c r="M22" s="611"/>
      <c r="N22" s="611">
        <v>0</v>
      </c>
      <c r="O22" s="611"/>
      <c r="P22" s="702" t="s">
        <v>1423</v>
      </c>
      <c r="Q22" s="592"/>
      <c r="R22" s="611">
        <f t="shared" si="16"/>
        <v>0</v>
      </c>
      <c r="S22" s="611"/>
      <c r="T22" s="611">
        <v>0</v>
      </c>
      <c r="U22" s="611"/>
      <c r="V22" s="611">
        <v>0</v>
      </c>
      <c r="W22" s="611"/>
      <c r="X22" s="611">
        <f t="shared" si="17"/>
        <v>0</v>
      </c>
      <c r="Y22" s="608"/>
      <c r="Z22" s="609" t="s">
        <v>1406</v>
      </c>
      <c r="AA22" s="608"/>
      <c r="AB22" s="611">
        <v>0</v>
      </c>
      <c r="AC22" s="611"/>
      <c r="AD22" s="611">
        <v>0</v>
      </c>
      <c r="AE22" s="611"/>
      <c r="AF22" s="611">
        <v>0</v>
      </c>
      <c r="AG22" s="608"/>
      <c r="AH22" s="702" t="s">
        <v>1423</v>
      </c>
      <c r="AI22" s="608"/>
      <c r="AJ22" s="611">
        <v>0</v>
      </c>
      <c r="AK22" s="611"/>
      <c r="AL22" s="611">
        <v>0</v>
      </c>
      <c r="AM22" s="611"/>
      <c r="AN22" s="611">
        <f t="shared" si="18"/>
        <v>0</v>
      </c>
      <c r="AO22" s="611"/>
      <c r="AP22" s="611">
        <f t="shared" si="13"/>
        <v>0</v>
      </c>
      <c r="AQ22" s="608"/>
      <c r="AR22" s="611">
        <v>0</v>
      </c>
      <c r="AS22" s="611"/>
      <c r="AT22" s="611">
        <v>0</v>
      </c>
      <c r="AU22" s="611"/>
      <c r="AV22" s="611">
        <v>0</v>
      </c>
      <c r="AW22" s="608"/>
      <c r="AX22" s="611">
        <v>0</v>
      </c>
      <c r="AY22" s="611"/>
      <c r="AZ22" s="611">
        <v>0</v>
      </c>
      <c r="BA22" s="611"/>
      <c r="BB22" s="611">
        <v>0</v>
      </c>
      <c r="BC22" s="611"/>
      <c r="BD22" s="611">
        <f t="shared" si="19"/>
        <v>0</v>
      </c>
      <c r="BE22" s="608"/>
      <c r="BF22" s="717">
        <f>BF127</f>
        <v>2140897.7962642731</v>
      </c>
      <c r="BG22" s="614"/>
      <c r="BH22" s="592">
        <f>A22</f>
        <v>109</v>
      </c>
    </row>
    <row r="23" spans="1:60" ht="14.5">
      <c r="A23" s="592">
        <f t="shared" si="14"/>
        <v>110</v>
      </c>
      <c r="B23" s="590" t="s">
        <v>1424</v>
      </c>
      <c r="C23" s="590"/>
      <c r="D23" s="592"/>
      <c r="E23" s="592"/>
      <c r="F23" s="592"/>
      <c r="G23" s="592"/>
      <c r="H23" s="708">
        <f>SUM(H17:H22)</f>
        <v>0</v>
      </c>
      <c r="I23" s="592"/>
      <c r="J23" s="608">
        <f>SUM(J17:J22)</f>
        <v>-1718692045.6946611</v>
      </c>
      <c r="K23" s="608"/>
      <c r="L23" s="608">
        <f t="shared" ref="L23" si="20">SUM(L17:L22)</f>
        <v>-1100193299.3789144</v>
      </c>
      <c r="M23" s="608"/>
      <c r="N23" s="608">
        <f t="shared" ref="N23" si="21">SUM(N17:N22)</f>
        <v>-618498747.31574667</v>
      </c>
      <c r="O23" s="608"/>
      <c r="P23" s="708"/>
      <c r="Q23" s="592"/>
      <c r="R23" s="608">
        <f>SUM(R17:R22)</f>
        <v>-473357154</v>
      </c>
      <c r="S23" s="608"/>
      <c r="T23" s="608">
        <f t="shared" ref="T23" si="22">SUM(T17:T22)</f>
        <v>-149032297.31574667</v>
      </c>
      <c r="U23" s="608"/>
      <c r="V23" s="608">
        <f t="shared" ref="V23" si="23">SUM(V17:V22)</f>
        <v>3890704</v>
      </c>
      <c r="W23" s="608"/>
      <c r="X23" s="608">
        <f>SUM(X17:X22)</f>
        <v>-618498747.31574667</v>
      </c>
      <c r="Y23" s="608"/>
      <c r="Z23" s="708"/>
      <c r="AA23" s="608"/>
      <c r="AB23" s="608">
        <f>SUM(AB17:AB22)</f>
        <v>-23283902.632330947</v>
      </c>
      <c r="AC23" s="608"/>
      <c r="AD23" s="608">
        <f t="shared" ref="AD23" si="24">SUM(AD17:AD22)</f>
        <v>-37383076.10055995</v>
      </c>
      <c r="AE23" s="608"/>
      <c r="AF23" s="608">
        <f t="shared" ref="AF23" si="25">SUM(AF17:AF22)</f>
        <v>-201654.6052043424</v>
      </c>
      <c r="AG23" s="608"/>
      <c r="AH23" s="708"/>
      <c r="AI23" s="608"/>
      <c r="AJ23" s="608">
        <f>SUM(AJ17:AJ22)</f>
        <v>-450073251.0736075</v>
      </c>
      <c r="AK23" s="608"/>
      <c r="AL23" s="608">
        <f t="shared" ref="AL23" si="26">SUM(AL17:AL22)</f>
        <v>-111649221.23625642</v>
      </c>
      <c r="AM23" s="608"/>
      <c r="AN23" s="608">
        <f t="shared" ref="AN23" si="27">SUM(AN17:AN22)</f>
        <v>4092358.741047631</v>
      </c>
      <c r="AO23" s="608"/>
      <c r="AP23" s="608">
        <f t="shared" ref="AP23" si="28">SUM(AP17:AP22)</f>
        <v>-557630113.5688163</v>
      </c>
      <c r="AQ23" s="608"/>
      <c r="AR23" s="608">
        <f>SUM(AR17:AR22)</f>
        <v>-7772507.7751260754</v>
      </c>
      <c r="AS23" s="608"/>
      <c r="AT23" s="608">
        <f t="shared" ref="AT23" si="29">SUM(AT17:AT22)</f>
        <v>-15254120.109379167</v>
      </c>
      <c r="AU23" s="608"/>
      <c r="AV23" s="608">
        <f t="shared" ref="AV23" si="30">SUM(AV17:AV22)</f>
        <v>559120.1093791672</v>
      </c>
      <c r="AW23" s="608"/>
      <c r="AX23" s="608">
        <f>SUM(AX17:AX22)</f>
        <v>-442300743.29848146</v>
      </c>
      <c r="AY23" s="608"/>
      <c r="AZ23" s="608">
        <f t="shared" ref="AZ23" si="31">SUM(AZ17:AZ22)</f>
        <v>-96395101.126877248</v>
      </c>
      <c r="BA23" s="608"/>
      <c r="BB23" s="608">
        <f t="shared" ref="BB23" si="32">SUM(BB17:BB22)</f>
        <v>3533238.6316684629</v>
      </c>
      <c r="BC23" s="608"/>
      <c r="BD23" s="608">
        <f t="shared" ref="BD23" si="33">SUM(BD17:BD22)</f>
        <v>-535162605.7936902</v>
      </c>
      <c r="BE23" s="608"/>
      <c r="BF23" s="708">
        <f>SUM(BF17:BF22)</f>
        <v>-747371847.8734659</v>
      </c>
      <c r="BG23" s="614"/>
      <c r="BH23" s="592">
        <f>A23</f>
        <v>110</v>
      </c>
    </row>
    <row r="24" spans="1:60" ht="14.5">
      <c r="A24" s="592"/>
      <c r="B24" s="590"/>
      <c r="C24" s="590"/>
      <c r="D24" s="592"/>
      <c r="E24" s="592"/>
      <c r="F24" s="592"/>
      <c r="G24" s="592"/>
      <c r="H24" s="592"/>
      <c r="I24" s="592"/>
      <c r="J24" s="592"/>
      <c r="K24" s="592"/>
      <c r="L24" s="592"/>
      <c r="M24" s="592"/>
      <c r="N24" s="592"/>
      <c r="O24" s="592"/>
      <c r="P24" s="592"/>
      <c r="Q24" s="592"/>
      <c r="R24" s="608"/>
      <c r="S24" s="608"/>
      <c r="T24" s="608"/>
      <c r="U24" s="608"/>
      <c r="V24" s="608"/>
      <c r="W24" s="608"/>
      <c r="X24" s="608"/>
      <c r="Y24" s="608"/>
      <c r="Z24" s="708"/>
      <c r="AA24" s="608"/>
      <c r="AB24" s="608"/>
      <c r="AC24" s="608"/>
      <c r="AD24" s="608"/>
      <c r="AE24" s="608"/>
      <c r="AF24" s="608"/>
      <c r="AG24" s="608"/>
      <c r="AH24" s="708"/>
      <c r="AI24" s="608"/>
      <c r="AJ24" s="608"/>
      <c r="AK24" s="608"/>
      <c r="AL24" s="608"/>
      <c r="AM24" s="608"/>
      <c r="AN24" s="608"/>
      <c r="AO24" s="608"/>
      <c r="AP24" s="608"/>
      <c r="AQ24" s="608"/>
      <c r="AR24" s="608"/>
      <c r="AS24" s="608"/>
      <c r="AT24" s="608"/>
      <c r="AU24" s="608"/>
      <c r="AV24" s="608"/>
      <c r="AW24" s="608"/>
      <c r="AX24" s="608"/>
      <c r="AY24" s="608"/>
      <c r="AZ24" s="608"/>
      <c r="BA24" s="608"/>
      <c r="BB24" s="608"/>
      <c r="BC24" s="608"/>
      <c r="BD24" s="608"/>
      <c r="BE24" s="608"/>
      <c r="BF24" s="592"/>
      <c r="BG24" s="614"/>
      <c r="BH24" s="592"/>
    </row>
    <row r="25" spans="1:60" ht="14.5">
      <c r="A25" s="324" t="s">
        <v>100</v>
      </c>
      <c r="B25" s="613" t="s">
        <v>1425</v>
      </c>
      <c r="C25" s="615"/>
      <c r="D25" s="591" t="s">
        <v>111</v>
      </c>
      <c r="E25" s="592"/>
      <c r="F25" s="592"/>
      <c r="G25" s="592"/>
      <c r="H25" s="592"/>
      <c r="I25" s="592"/>
      <c r="J25" s="592"/>
      <c r="K25" s="592"/>
      <c r="L25" s="592"/>
      <c r="M25" s="592"/>
      <c r="N25" s="592"/>
      <c r="O25" s="592"/>
      <c r="P25" s="592"/>
      <c r="Q25" s="592"/>
      <c r="R25" s="608"/>
      <c r="S25" s="608"/>
      <c r="T25" s="608"/>
      <c r="U25" s="608"/>
      <c r="V25" s="590"/>
      <c r="W25" s="590"/>
      <c r="X25" s="590"/>
      <c r="Y25" s="590"/>
      <c r="Z25" s="699"/>
      <c r="AA25" s="590"/>
      <c r="AB25" s="590"/>
      <c r="AC25" s="590"/>
      <c r="AD25" s="590"/>
      <c r="AE25" s="590"/>
      <c r="AF25" s="590"/>
      <c r="AG25" s="590"/>
      <c r="AH25" s="699"/>
      <c r="AI25" s="590"/>
      <c r="AJ25" s="608"/>
      <c r="AK25" s="608"/>
      <c r="AL25" s="608"/>
      <c r="AM25" s="608"/>
      <c r="AN25" s="590"/>
      <c r="AO25" s="590"/>
      <c r="AP25" s="590"/>
      <c r="AQ25" s="590"/>
      <c r="AR25" s="590"/>
      <c r="AS25" s="590"/>
      <c r="AT25" s="608"/>
      <c r="AU25" s="590"/>
      <c r="AV25" s="590"/>
      <c r="AW25" s="590"/>
      <c r="AX25" s="608"/>
      <c r="AY25" s="608"/>
      <c r="AZ25" s="608"/>
      <c r="BA25" s="608"/>
      <c r="BB25" s="590"/>
      <c r="BC25" s="590"/>
      <c r="BD25" s="590"/>
      <c r="BE25" s="590"/>
      <c r="BF25" s="592"/>
      <c r="BG25" s="614"/>
      <c r="BH25" s="618" t="s">
        <v>100</v>
      </c>
    </row>
    <row r="26" spans="1:60" ht="14.5">
      <c r="A26" s="592">
        <v>200</v>
      </c>
      <c r="B26" s="590" t="s">
        <v>1426</v>
      </c>
      <c r="C26" s="590"/>
      <c r="D26" s="592"/>
      <c r="E26" s="592"/>
      <c r="F26" s="592"/>
      <c r="G26" s="592"/>
      <c r="H26" s="717">
        <f>ROUND(SUM(H27:H31),0)</f>
        <v>0</v>
      </c>
      <c r="I26" s="592"/>
      <c r="J26" s="611">
        <f>ROUND(SUM(J27:J31),0)</f>
        <v>-1695727972</v>
      </c>
      <c r="K26" s="608"/>
      <c r="L26" s="611">
        <f>ROUND(SUM(L27:L31),0)</f>
        <v>-1087798598</v>
      </c>
      <c r="M26" s="608"/>
      <c r="N26" s="611">
        <f>ROUND(SUM(N27:N31),0)</f>
        <v>-607929374</v>
      </c>
      <c r="O26" s="592"/>
      <c r="P26" s="592"/>
      <c r="Q26" s="592"/>
      <c r="R26" s="611">
        <f>ROUND(SUM(R27:R31),0)</f>
        <v>-607929374</v>
      </c>
      <c r="S26" s="608"/>
      <c r="T26" s="611">
        <f>ROUND(SUM(T27:T31),0)</f>
        <v>0</v>
      </c>
      <c r="U26" s="608"/>
      <c r="V26" s="611">
        <f>ROUND(SUM(V27:V31),0)</f>
        <v>0</v>
      </c>
      <c r="W26" s="608"/>
      <c r="X26" s="611">
        <f>ROUND(SUM(X27:X31),0)</f>
        <v>-607929374</v>
      </c>
      <c r="Y26" s="608"/>
      <c r="Z26" s="708"/>
      <c r="AA26" s="608"/>
      <c r="AB26" s="611">
        <f>SUM(AB27:AB31)</f>
        <v>-29903357.850686599</v>
      </c>
      <c r="AC26" s="608"/>
      <c r="AD26" s="611">
        <f>SUM(AD27:AD31)</f>
        <v>0</v>
      </c>
      <c r="AE26" s="608"/>
      <c r="AF26" s="611">
        <f>SUM(AF27:AF31)</f>
        <v>0</v>
      </c>
      <c r="AG26" s="608"/>
      <c r="AH26" s="708"/>
      <c r="AI26" s="608"/>
      <c r="AJ26" s="611">
        <f>SUM(AJ27:AJ31)</f>
        <v>-578026016.06128585</v>
      </c>
      <c r="AK26" s="608"/>
      <c r="AL26" s="611">
        <f>SUM(AL27:AL31)</f>
        <v>0</v>
      </c>
      <c r="AM26" s="608"/>
      <c r="AN26" s="611">
        <f>SUM(AN27:AN31)</f>
        <v>0</v>
      </c>
      <c r="AO26" s="608"/>
      <c r="AP26" s="611">
        <f>SUM(AP27:AP31)</f>
        <v>-578026016.06128585</v>
      </c>
      <c r="AQ26" s="608"/>
      <c r="AR26" s="611">
        <f>SUM(AR27:AR31)</f>
        <v>-9982178.8929467555</v>
      </c>
      <c r="AS26" s="608"/>
      <c r="AT26" s="611">
        <f>SUM(AT27:AT31)</f>
        <v>0</v>
      </c>
      <c r="AU26" s="608"/>
      <c r="AV26" s="611">
        <f>SUM(AV27:AV31)</f>
        <v>0</v>
      </c>
      <c r="AW26" s="608"/>
      <c r="AX26" s="611">
        <f>SUM(AX27:AX31)</f>
        <v>-568043837.16833913</v>
      </c>
      <c r="AY26" s="608"/>
      <c r="AZ26" s="611">
        <f>SUM(AZ27:AZ31)</f>
        <v>0</v>
      </c>
      <c r="BA26" s="608"/>
      <c r="BB26" s="611">
        <f>SUM(BB27:BB31)</f>
        <v>0</v>
      </c>
      <c r="BC26" s="608"/>
      <c r="BD26" s="611">
        <f>SUM(BD27:BD31)</f>
        <v>-568043837.16833913</v>
      </c>
      <c r="BE26" s="608"/>
      <c r="BF26" s="717">
        <f>ROUND(SUM(BF27:BF31),0)</f>
        <v>-788770110</v>
      </c>
      <c r="BG26" s="612"/>
      <c r="BH26" s="592">
        <f t="shared" ref="BH26:BH31" si="34">A26</f>
        <v>200</v>
      </c>
    </row>
    <row r="27" spans="1:60" ht="14.5">
      <c r="A27" s="592">
        <f t="shared" si="14"/>
        <v>201</v>
      </c>
      <c r="B27" s="624" t="s">
        <v>1427</v>
      </c>
      <c r="C27" s="590"/>
      <c r="D27" s="590" t="s">
        <v>1428</v>
      </c>
      <c r="E27" s="592"/>
      <c r="F27" s="702" t="s">
        <v>1404</v>
      </c>
      <c r="G27" s="592"/>
      <c r="H27" s="719"/>
      <c r="I27" s="592"/>
      <c r="J27" s="622">
        <v>-177951619.23296779</v>
      </c>
      <c r="K27" s="608"/>
      <c r="L27" s="622">
        <v>-177951617.90316525</v>
      </c>
      <c r="M27" s="608"/>
      <c r="N27" s="622">
        <v>-1.3298025289016575</v>
      </c>
      <c r="O27" s="592"/>
      <c r="P27" s="702" t="s">
        <v>1405</v>
      </c>
      <c r="Q27" s="592"/>
      <c r="R27" s="608">
        <f>N27</f>
        <v>-1.3298025289016575</v>
      </c>
      <c r="S27" s="608"/>
      <c r="T27" s="608">
        <v>0</v>
      </c>
      <c r="U27" s="608"/>
      <c r="V27" s="608">
        <v>0</v>
      </c>
      <c r="W27" s="608"/>
      <c r="X27" s="608">
        <f t="shared" ref="X27:X31" si="35">SUM(R27:V27)</f>
        <v>-1.3298025289016575</v>
      </c>
      <c r="Y27" s="608"/>
      <c r="Z27" s="609" t="s">
        <v>1406</v>
      </c>
      <c r="AA27" s="608"/>
      <c r="AB27" s="622"/>
      <c r="AC27" s="608"/>
      <c r="AD27" s="608">
        <v>0</v>
      </c>
      <c r="AE27" s="608"/>
      <c r="AF27" s="608">
        <v>0</v>
      </c>
      <c r="AG27" s="608"/>
      <c r="AH27" s="609" t="s">
        <v>1407</v>
      </c>
      <c r="AI27" s="608"/>
      <c r="AJ27" s="607">
        <f t="shared" ref="AJ27:AJ31" si="36">+R27-AB27</f>
        <v>-1.3298025289016575</v>
      </c>
      <c r="AK27" s="608"/>
      <c r="AL27" s="607">
        <f t="shared" ref="AL27:AL31" si="37">+T27-AD27</f>
        <v>0</v>
      </c>
      <c r="AM27" s="608"/>
      <c r="AN27" s="607">
        <f t="shared" ref="AN27:AN31" si="38">+V27-AF27</f>
        <v>0</v>
      </c>
      <c r="AO27" s="608"/>
      <c r="AP27" s="608">
        <f t="shared" ref="AP27:AP31" si="39">SUM(AJ27:AN27)</f>
        <v>-1.3298025289016575</v>
      </c>
      <c r="AQ27" s="608"/>
      <c r="AR27" s="797">
        <v>0</v>
      </c>
      <c r="AS27" s="608"/>
      <c r="AT27" s="608">
        <v>0</v>
      </c>
      <c r="AU27" s="608"/>
      <c r="AV27" s="608">
        <v>0</v>
      </c>
      <c r="AW27" s="608"/>
      <c r="AX27" s="607">
        <f>+AJ27-AR27</f>
        <v>-1.3298025289016575</v>
      </c>
      <c r="AY27" s="608"/>
      <c r="AZ27" s="607">
        <f>+AL27-AT27</f>
        <v>0</v>
      </c>
      <c r="BA27" s="608"/>
      <c r="BB27" s="607">
        <f>+AN27-AV27</f>
        <v>0</v>
      </c>
      <c r="BC27" s="608"/>
      <c r="BD27" s="608">
        <f t="shared" ref="BD27:BD31" si="40">SUM(AX27:BB27)</f>
        <v>-1.3298025289016575</v>
      </c>
      <c r="BE27" s="608"/>
      <c r="BF27" s="708">
        <f>+BD27*$BF$9</f>
        <v>-1.8465273589094393</v>
      </c>
      <c r="BG27" s="612"/>
      <c r="BH27" s="592">
        <f t="shared" si="34"/>
        <v>201</v>
      </c>
    </row>
    <row r="28" spans="1:60" ht="14.5">
      <c r="A28" s="592">
        <f t="shared" si="14"/>
        <v>202</v>
      </c>
      <c r="B28" s="624" t="s">
        <v>1429</v>
      </c>
      <c r="C28" s="590"/>
      <c r="D28" s="590" t="s">
        <v>1428</v>
      </c>
      <c r="E28" s="592"/>
      <c r="F28" s="702" t="s">
        <v>1404</v>
      </c>
      <c r="G28" s="592"/>
      <c r="H28" s="719"/>
      <c r="I28" s="592"/>
      <c r="J28" s="622">
        <v>-1580569733.7014818</v>
      </c>
      <c r="K28" s="608"/>
      <c r="L28" s="622">
        <v>-947208768.22001982</v>
      </c>
      <c r="M28" s="608"/>
      <c r="N28" s="622">
        <v>-633360965.481462</v>
      </c>
      <c r="O28" s="592"/>
      <c r="P28" s="702" t="s">
        <v>1405</v>
      </c>
      <c r="Q28" s="592"/>
      <c r="R28" s="608">
        <f t="shared" ref="R28:R29" si="41">N28</f>
        <v>-633360965.481462</v>
      </c>
      <c r="S28" s="608"/>
      <c r="T28" s="608">
        <v>0</v>
      </c>
      <c r="U28" s="608"/>
      <c r="V28" s="608">
        <v>0</v>
      </c>
      <c r="W28" s="608"/>
      <c r="X28" s="608">
        <f t="shared" si="35"/>
        <v>-633360965.481462</v>
      </c>
      <c r="Y28" s="608"/>
      <c r="Z28" s="609" t="s">
        <v>1406</v>
      </c>
      <c r="AA28" s="608"/>
      <c r="AB28" s="622">
        <v>-31154309.124763623</v>
      </c>
      <c r="AC28" s="608"/>
      <c r="AD28" s="608">
        <v>0</v>
      </c>
      <c r="AE28" s="608"/>
      <c r="AF28" s="608">
        <v>0</v>
      </c>
      <c r="AG28" s="608"/>
      <c r="AH28" s="609" t="s">
        <v>1407</v>
      </c>
      <c r="AI28" s="608"/>
      <c r="AJ28" s="607">
        <f t="shared" si="36"/>
        <v>-602206656.35669839</v>
      </c>
      <c r="AK28" s="608"/>
      <c r="AL28" s="607">
        <f t="shared" si="37"/>
        <v>0</v>
      </c>
      <c r="AM28" s="608"/>
      <c r="AN28" s="607">
        <f t="shared" si="38"/>
        <v>0</v>
      </c>
      <c r="AO28" s="608"/>
      <c r="AP28" s="608">
        <f t="shared" si="39"/>
        <v>-602206656.35669839</v>
      </c>
      <c r="AQ28" s="608"/>
      <c r="AR28" s="797">
        <v>-10399764.752921</v>
      </c>
      <c r="AS28" s="608"/>
      <c r="AT28" s="608">
        <v>0</v>
      </c>
      <c r="AU28" s="608"/>
      <c r="AV28" s="608">
        <v>0</v>
      </c>
      <c r="AW28" s="608"/>
      <c r="AX28" s="607">
        <f>+AJ28-AR28</f>
        <v>-591806891.60377741</v>
      </c>
      <c r="AY28" s="608"/>
      <c r="AZ28" s="607">
        <f>+AL28-AT28</f>
        <v>0</v>
      </c>
      <c r="BA28" s="608"/>
      <c r="BB28" s="607">
        <f>+AN28-AV28</f>
        <v>0</v>
      </c>
      <c r="BC28" s="608"/>
      <c r="BD28" s="608">
        <f t="shared" si="40"/>
        <v>-591806891.60377741</v>
      </c>
      <c r="BE28" s="608"/>
      <c r="BF28" s="708">
        <f t="shared" ref="BF28:BF31" si="42">+BD28*$BF$9</f>
        <v>-821766835.89262629</v>
      </c>
      <c r="BG28" s="612"/>
      <c r="BH28" s="592">
        <f t="shared" si="34"/>
        <v>202</v>
      </c>
    </row>
    <row r="29" spans="1:60" ht="14.5">
      <c r="A29" s="592">
        <f t="shared" si="14"/>
        <v>203</v>
      </c>
      <c r="B29" s="624" t="s">
        <v>1430</v>
      </c>
      <c r="C29" s="590"/>
      <c r="D29" s="590" t="s">
        <v>1428</v>
      </c>
      <c r="E29" s="592"/>
      <c r="F29" s="702" t="s">
        <v>1404</v>
      </c>
      <c r="G29" s="592"/>
      <c r="H29" s="719"/>
      <c r="I29" s="592"/>
      <c r="J29" s="622">
        <v>62793380.796865478</v>
      </c>
      <c r="K29" s="608"/>
      <c r="L29" s="622">
        <v>37361787.897573374</v>
      </c>
      <c r="M29" s="608"/>
      <c r="N29" s="622">
        <v>25431592.899292093</v>
      </c>
      <c r="O29" s="592"/>
      <c r="P29" s="702" t="s">
        <v>1405</v>
      </c>
      <c r="Q29" s="592"/>
      <c r="R29" s="608">
        <f t="shared" si="41"/>
        <v>25431592.899292093</v>
      </c>
      <c r="S29" s="608"/>
      <c r="T29" s="608">
        <v>0</v>
      </c>
      <c r="U29" s="608"/>
      <c r="V29" s="608">
        <v>0</v>
      </c>
      <c r="W29" s="608"/>
      <c r="X29" s="608">
        <f t="shared" si="35"/>
        <v>25431592.899292093</v>
      </c>
      <c r="Y29" s="608"/>
      <c r="Z29" s="609" t="s">
        <v>1406</v>
      </c>
      <c r="AA29" s="608"/>
      <c r="AB29" s="622">
        <v>1250951.274077025</v>
      </c>
      <c r="AC29" s="608"/>
      <c r="AD29" s="608">
        <v>0</v>
      </c>
      <c r="AE29" s="608"/>
      <c r="AF29" s="608">
        <v>0</v>
      </c>
      <c r="AG29" s="608"/>
      <c r="AH29" s="609" t="s">
        <v>1407</v>
      </c>
      <c r="AI29" s="608"/>
      <c r="AJ29" s="607">
        <f t="shared" si="36"/>
        <v>24180641.625215068</v>
      </c>
      <c r="AK29" s="608"/>
      <c r="AL29" s="607">
        <f t="shared" si="37"/>
        <v>0</v>
      </c>
      <c r="AM29" s="608"/>
      <c r="AN29" s="607">
        <f t="shared" si="38"/>
        <v>0</v>
      </c>
      <c r="AO29" s="608"/>
      <c r="AP29" s="608">
        <f t="shared" si="39"/>
        <v>24180641.625215068</v>
      </c>
      <c r="AQ29" s="608"/>
      <c r="AR29" s="797">
        <v>417585.85997424403</v>
      </c>
      <c r="AS29" s="608"/>
      <c r="AT29" s="608">
        <v>0</v>
      </c>
      <c r="AU29" s="608"/>
      <c r="AV29" s="608">
        <v>0</v>
      </c>
      <c r="AW29" s="608"/>
      <c r="AX29" s="607">
        <f>+AJ29-AR29</f>
        <v>23763055.765240826</v>
      </c>
      <c r="AY29" s="608"/>
      <c r="AZ29" s="607">
        <f>+AL29-AT29</f>
        <v>0</v>
      </c>
      <c r="BA29" s="608"/>
      <c r="BB29" s="607">
        <f>+AN29-AV29</f>
        <v>0</v>
      </c>
      <c r="BC29" s="608"/>
      <c r="BD29" s="608">
        <f t="shared" si="40"/>
        <v>23763055.765240826</v>
      </c>
      <c r="BE29" s="608"/>
      <c r="BF29" s="708">
        <f t="shared" si="42"/>
        <v>32996728.196967389</v>
      </c>
      <c r="BG29" s="612"/>
      <c r="BH29" s="592">
        <f t="shared" si="34"/>
        <v>203</v>
      </c>
    </row>
    <row r="30" spans="1:60" ht="14.5">
      <c r="A30" s="592">
        <f t="shared" si="14"/>
        <v>204</v>
      </c>
      <c r="B30" s="623"/>
      <c r="C30" s="590"/>
      <c r="D30" s="592"/>
      <c r="E30" s="592"/>
      <c r="F30" s="592"/>
      <c r="G30" s="592"/>
      <c r="H30" s="719"/>
      <c r="I30" s="592"/>
      <c r="J30" s="622"/>
      <c r="K30" s="608"/>
      <c r="L30" s="622"/>
      <c r="M30" s="608"/>
      <c r="N30" s="622"/>
      <c r="O30" s="592"/>
      <c r="P30" s="592"/>
      <c r="Q30" s="592"/>
      <c r="R30" s="608">
        <v>0</v>
      </c>
      <c r="S30" s="608"/>
      <c r="T30" s="608">
        <v>0</v>
      </c>
      <c r="U30" s="608"/>
      <c r="V30" s="608">
        <v>0</v>
      </c>
      <c r="W30" s="608"/>
      <c r="X30" s="608">
        <f t="shared" si="35"/>
        <v>0</v>
      </c>
      <c r="Y30" s="608"/>
      <c r="Z30" s="708"/>
      <c r="AA30" s="608"/>
      <c r="AB30" s="622"/>
      <c r="AC30" s="608"/>
      <c r="AD30" s="608">
        <v>0</v>
      </c>
      <c r="AE30" s="608"/>
      <c r="AF30" s="608">
        <v>0</v>
      </c>
      <c r="AG30" s="608"/>
      <c r="AH30" s="708"/>
      <c r="AI30" s="608"/>
      <c r="AJ30" s="607">
        <f t="shared" si="36"/>
        <v>0</v>
      </c>
      <c r="AK30" s="608"/>
      <c r="AL30" s="607">
        <f t="shared" si="37"/>
        <v>0</v>
      </c>
      <c r="AM30" s="608"/>
      <c r="AN30" s="607">
        <f t="shared" si="38"/>
        <v>0</v>
      </c>
      <c r="AO30" s="608"/>
      <c r="AP30" s="608">
        <f t="shared" si="39"/>
        <v>0</v>
      </c>
      <c r="AQ30" s="608"/>
      <c r="AR30" s="622"/>
      <c r="AS30" s="608"/>
      <c r="AT30" s="608">
        <v>0</v>
      </c>
      <c r="AU30" s="608"/>
      <c r="AV30" s="608">
        <v>0</v>
      </c>
      <c r="AW30" s="608"/>
      <c r="AX30" s="607">
        <f>+AJ30-AR30</f>
        <v>0</v>
      </c>
      <c r="AY30" s="608"/>
      <c r="AZ30" s="607">
        <f>+AL30-AT30</f>
        <v>0</v>
      </c>
      <c r="BA30" s="608"/>
      <c r="BB30" s="607">
        <f>+AN30-AV30</f>
        <v>0</v>
      </c>
      <c r="BC30" s="608"/>
      <c r="BD30" s="608">
        <f t="shared" si="40"/>
        <v>0</v>
      </c>
      <c r="BE30" s="608"/>
      <c r="BF30" s="708">
        <f t="shared" si="42"/>
        <v>0</v>
      </c>
      <c r="BG30" s="612"/>
      <c r="BH30" s="592">
        <f t="shared" si="34"/>
        <v>204</v>
      </c>
    </row>
    <row r="31" spans="1:60" ht="14.5">
      <c r="A31" s="592">
        <f>+A30+1</f>
        <v>205</v>
      </c>
      <c r="B31" s="623"/>
      <c r="C31" s="616"/>
      <c r="D31" s="590"/>
      <c r="E31" s="590"/>
      <c r="F31" s="702"/>
      <c r="G31" s="590"/>
      <c r="H31" s="719"/>
      <c r="I31" s="590"/>
      <c r="J31" s="622"/>
      <c r="K31" s="608"/>
      <c r="L31" s="622"/>
      <c r="M31" s="608"/>
      <c r="N31" s="622"/>
      <c r="O31" s="590"/>
      <c r="P31" s="699"/>
      <c r="Q31" s="590"/>
      <c r="R31" s="608">
        <v>0</v>
      </c>
      <c r="S31" s="608"/>
      <c r="T31" s="608">
        <v>0</v>
      </c>
      <c r="U31" s="608"/>
      <c r="V31" s="608">
        <v>0</v>
      </c>
      <c r="W31" s="608"/>
      <c r="X31" s="608">
        <f t="shared" si="35"/>
        <v>0</v>
      </c>
      <c r="Y31" s="608"/>
      <c r="Z31" s="708"/>
      <c r="AA31" s="608"/>
      <c r="AB31" s="622"/>
      <c r="AC31" s="608"/>
      <c r="AD31" s="608">
        <v>0</v>
      </c>
      <c r="AE31" s="608"/>
      <c r="AF31" s="608">
        <v>0</v>
      </c>
      <c r="AG31" s="608"/>
      <c r="AH31" s="708"/>
      <c r="AI31" s="608"/>
      <c r="AJ31" s="607">
        <f t="shared" si="36"/>
        <v>0</v>
      </c>
      <c r="AK31" s="608"/>
      <c r="AL31" s="607">
        <f t="shared" si="37"/>
        <v>0</v>
      </c>
      <c r="AM31" s="608"/>
      <c r="AN31" s="607">
        <f t="shared" si="38"/>
        <v>0</v>
      </c>
      <c r="AO31" s="608"/>
      <c r="AP31" s="608">
        <f t="shared" si="39"/>
        <v>0</v>
      </c>
      <c r="AQ31" s="617"/>
      <c r="AR31" s="622"/>
      <c r="AS31" s="608"/>
      <c r="AT31" s="608">
        <v>0</v>
      </c>
      <c r="AU31" s="608"/>
      <c r="AV31" s="608">
        <v>0</v>
      </c>
      <c r="AW31" s="608"/>
      <c r="AX31" s="607">
        <f>+AJ31-AR31</f>
        <v>0</v>
      </c>
      <c r="AY31" s="608"/>
      <c r="AZ31" s="607">
        <f>+AL31-AT31</f>
        <v>0</v>
      </c>
      <c r="BA31" s="608"/>
      <c r="BB31" s="607">
        <f>+AN31-AV31</f>
        <v>0</v>
      </c>
      <c r="BC31" s="608"/>
      <c r="BD31" s="608">
        <f t="shared" si="40"/>
        <v>0</v>
      </c>
      <c r="BE31" s="617"/>
      <c r="BF31" s="708">
        <f t="shared" si="42"/>
        <v>0</v>
      </c>
      <c r="BG31" s="590"/>
      <c r="BH31" s="592">
        <f t="shared" si="34"/>
        <v>205</v>
      </c>
    </row>
    <row r="32" spans="1:60" ht="14.5">
      <c r="A32" s="592"/>
      <c r="B32" s="597"/>
      <c r="C32" s="616"/>
      <c r="D32" s="590"/>
      <c r="E32" s="590"/>
      <c r="F32" s="702"/>
      <c r="G32" s="590"/>
      <c r="H32" s="708"/>
      <c r="I32" s="590"/>
      <c r="J32" s="608"/>
      <c r="K32" s="608"/>
      <c r="L32" s="608"/>
      <c r="M32" s="608"/>
      <c r="N32" s="608"/>
      <c r="O32" s="590"/>
      <c r="P32" s="699"/>
      <c r="Q32" s="590"/>
      <c r="R32" s="608"/>
      <c r="S32" s="608"/>
      <c r="T32" s="608"/>
      <c r="U32" s="608"/>
      <c r="V32" s="608"/>
      <c r="W32" s="608"/>
      <c r="X32" s="608"/>
      <c r="Y32" s="608"/>
      <c r="Z32" s="708"/>
      <c r="AA32" s="608"/>
      <c r="AB32" s="608"/>
      <c r="AC32" s="608"/>
      <c r="AD32" s="608"/>
      <c r="AE32" s="608"/>
      <c r="AF32" s="608"/>
      <c r="AG32" s="608"/>
      <c r="AH32" s="708"/>
      <c r="AI32" s="608"/>
      <c r="AJ32" s="608"/>
      <c r="AK32" s="608"/>
      <c r="AL32" s="608"/>
      <c r="AM32" s="608"/>
      <c r="AN32" s="608"/>
      <c r="AO32" s="608"/>
      <c r="AP32" s="608"/>
      <c r="AQ32" s="617"/>
      <c r="AR32" s="608"/>
      <c r="AS32" s="608"/>
      <c r="AT32" s="608"/>
      <c r="AU32" s="608"/>
      <c r="AV32" s="608"/>
      <c r="AW32" s="608"/>
      <c r="AX32" s="608"/>
      <c r="AY32" s="608"/>
      <c r="AZ32" s="608"/>
      <c r="BA32" s="608"/>
      <c r="BB32" s="608"/>
      <c r="BC32" s="608"/>
      <c r="BD32" s="608"/>
      <c r="BE32" s="617"/>
      <c r="BF32" s="708"/>
      <c r="BG32" s="590"/>
      <c r="BH32" s="592"/>
    </row>
    <row r="33" spans="1:60" ht="14.5">
      <c r="A33" s="324" t="s">
        <v>100</v>
      </c>
      <c r="B33" s="589"/>
      <c r="F33" s="711"/>
      <c r="H33" s="701"/>
      <c r="BH33" s="618" t="s">
        <v>100</v>
      </c>
    </row>
    <row r="34" spans="1:60" ht="14.5">
      <c r="A34" s="592">
        <v>300</v>
      </c>
      <c r="B34" s="590" t="s">
        <v>1431</v>
      </c>
      <c r="F34" s="711"/>
      <c r="H34" s="717">
        <f>SUM(H35:H39)</f>
        <v>0</v>
      </c>
      <c r="J34" s="611">
        <f>SUM(J35:J39)</f>
        <v>0</v>
      </c>
      <c r="K34" s="608"/>
      <c r="L34" s="611">
        <f>SUM(L35:L39)</f>
        <v>0</v>
      </c>
      <c r="M34" s="608"/>
      <c r="N34" s="611">
        <f>SUM(N35:N39)</f>
        <v>0</v>
      </c>
      <c r="O34" s="592"/>
      <c r="P34" s="592"/>
      <c r="Q34" s="592"/>
      <c r="R34" s="611">
        <f>SUM(R35:R39)</f>
        <v>0</v>
      </c>
      <c r="S34" s="608"/>
      <c r="T34" s="611">
        <f>SUM(T35:T39)</f>
        <v>0</v>
      </c>
      <c r="U34" s="608"/>
      <c r="V34" s="611">
        <f>SUM(V35:V39)</f>
        <v>0</v>
      </c>
      <c r="W34" s="608"/>
      <c r="X34" s="611">
        <f>SUM(X35:X39)</f>
        <v>0</v>
      </c>
      <c r="Y34" s="608"/>
      <c r="Z34" s="708"/>
      <c r="AA34" s="608"/>
      <c r="AB34" s="611">
        <f>SUM(AB35:AB39)</f>
        <v>0</v>
      </c>
      <c r="AC34" s="608"/>
      <c r="AD34" s="611">
        <f>SUM(AD35:AD39)</f>
        <v>0</v>
      </c>
      <c r="AE34" s="608"/>
      <c r="AF34" s="611">
        <f>SUM(AF35:AF39)</f>
        <v>0</v>
      </c>
      <c r="AG34" s="608"/>
      <c r="AH34" s="708"/>
      <c r="AI34" s="608"/>
      <c r="AJ34" s="611">
        <f>SUM(AJ35:AJ39)</f>
        <v>0</v>
      </c>
      <c r="AK34" s="608"/>
      <c r="AL34" s="611">
        <f>SUM(AL35:AL39)</f>
        <v>0</v>
      </c>
      <c r="AM34" s="608"/>
      <c r="AN34" s="611">
        <f>SUM(AN35:AN39)</f>
        <v>0</v>
      </c>
      <c r="AO34" s="608"/>
      <c r="AP34" s="611">
        <f>SUM(AP35:AP39)</f>
        <v>0</v>
      </c>
      <c r="AR34" s="611">
        <f>SUM(AR35:AR39)</f>
        <v>0</v>
      </c>
      <c r="AS34" s="608"/>
      <c r="AT34" s="611">
        <f>SUM(AT35:AT39)</f>
        <v>0</v>
      </c>
      <c r="AU34" s="608"/>
      <c r="AV34" s="611">
        <f>SUM(AV35:AV39)</f>
        <v>0</v>
      </c>
      <c r="AW34" s="608"/>
      <c r="AX34" s="611">
        <f>SUM(AX35:AX39)</f>
        <v>0</v>
      </c>
      <c r="AY34" s="608"/>
      <c r="AZ34" s="611">
        <f>SUM(AZ35:AZ39)</f>
        <v>0</v>
      </c>
      <c r="BA34" s="608"/>
      <c r="BB34" s="611">
        <f>SUM(BB35:BB39)</f>
        <v>0</v>
      </c>
      <c r="BC34" s="608"/>
      <c r="BD34" s="611">
        <f>SUM(BD35:BD39)</f>
        <v>0</v>
      </c>
      <c r="BF34" s="717">
        <f>SUM(BF35:BF39)</f>
        <v>0</v>
      </c>
      <c r="BH34" s="592">
        <f t="shared" ref="BH34:BH39" si="43">A34</f>
        <v>300</v>
      </c>
    </row>
    <row r="35" spans="1:60" ht="14.5">
      <c r="A35" s="592">
        <f t="shared" ref="A35:A38" si="44">A34+1</f>
        <v>301</v>
      </c>
      <c r="B35" s="637" t="s">
        <v>1432</v>
      </c>
      <c r="D35" s="706" t="s">
        <v>1433</v>
      </c>
      <c r="F35" s="711" t="s">
        <v>1404</v>
      </c>
      <c r="H35" s="719"/>
      <c r="J35" s="622">
        <v>0</v>
      </c>
      <c r="K35" s="608"/>
      <c r="L35" s="622">
        <v>0</v>
      </c>
      <c r="M35" s="608"/>
      <c r="N35" s="622">
        <v>0</v>
      </c>
      <c r="P35" s="702" t="s">
        <v>1405</v>
      </c>
      <c r="R35" s="608">
        <f t="shared" ref="R35:R39" si="45">N35</f>
        <v>0</v>
      </c>
      <c r="S35" s="608"/>
      <c r="T35" s="608">
        <v>0</v>
      </c>
      <c r="U35" s="608"/>
      <c r="V35" s="608">
        <v>0</v>
      </c>
      <c r="W35" s="608"/>
      <c r="X35" s="608">
        <f>SUM(R35:V35)</f>
        <v>0</v>
      </c>
      <c r="Y35" s="608"/>
      <c r="Z35" s="708"/>
      <c r="AA35" s="608"/>
      <c r="AB35" s="622"/>
      <c r="AC35" s="608"/>
      <c r="AD35" s="622"/>
      <c r="AE35" s="608"/>
      <c r="AF35" s="608">
        <v>0</v>
      </c>
      <c r="AG35" s="608"/>
      <c r="AH35" s="708"/>
      <c r="AI35" s="608"/>
      <c r="AJ35" s="607">
        <f t="shared" ref="AJ35:AJ39" si="46">+R35-AB35</f>
        <v>0</v>
      </c>
      <c r="AK35" s="608"/>
      <c r="AL35" s="607">
        <f t="shared" ref="AL35:AL39" si="47">+T35-AD35</f>
        <v>0</v>
      </c>
      <c r="AM35" s="608"/>
      <c r="AN35" s="607">
        <f t="shared" ref="AN35:AN39" si="48">+V35-AF35</f>
        <v>0</v>
      </c>
      <c r="AO35" s="608"/>
      <c r="AP35" s="608">
        <f t="shared" ref="AP35:AP39" si="49">SUM(AJ35:AN35)</f>
        <v>0</v>
      </c>
      <c r="AR35" s="622"/>
      <c r="AS35" s="608"/>
      <c r="AT35" s="622"/>
      <c r="AU35" s="608"/>
      <c r="AV35" s="608">
        <v>0</v>
      </c>
      <c r="AW35" s="608"/>
      <c r="AX35" s="607">
        <f>+AJ35-AR35</f>
        <v>0</v>
      </c>
      <c r="AY35" s="608"/>
      <c r="AZ35" s="607">
        <f>+AL35-AT35</f>
        <v>0</v>
      </c>
      <c r="BA35" s="608"/>
      <c r="BB35" s="607">
        <f>+AN35-AV35</f>
        <v>0</v>
      </c>
      <c r="BC35" s="608"/>
      <c r="BD35" s="608">
        <f t="shared" ref="BD35:BD39" si="50">SUM(AX35:BB35)</f>
        <v>0</v>
      </c>
      <c r="BF35" s="708">
        <f t="shared" ref="BF35:BF39" si="51">+BD35*$BF$9</f>
        <v>0</v>
      </c>
      <c r="BH35" s="592">
        <f t="shared" si="43"/>
        <v>301</v>
      </c>
    </row>
    <row r="36" spans="1:60" ht="14.5">
      <c r="A36" s="592">
        <f t="shared" si="44"/>
        <v>302</v>
      </c>
      <c r="B36" s="637" t="s">
        <v>1432</v>
      </c>
      <c r="D36" s="706" t="s">
        <v>1433</v>
      </c>
      <c r="F36" s="711" t="s">
        <v>1404</v>
      </c>
      <c r="H36" s="719"/>
      <c r="J36" s="622">
        <v>0</v>
      </c>
      <c r="K36" s="608"/>
      <c r="L36" s="622">
        <v>0</v>
      </c>
      <c r="M36" s="608"/>
      <c r="N36" s="622">
        <v>0</v>
      </c>
      <c r="P36" s="702" t="s">
        <v>1405</v>
      </c>
      <c r="R36" s="608">
        <f t="shared" si="45"/>
        <v>0</v>
      </c>
      <c r="S36" s="608"/>
      <c r="T36" s="608">
        <v>0</v>
      </c>
      <c r="U36" s="608"/>
      <c r="V36" s="608">
        <v>0</v>
      </c>
      <c r="W36" s="608"/>
      <c r="X36" s="608">
        <f t="shared" ref="X36:X39" si="52">SUM(R36:V36)</f>
        <v>0</v>
      </c>
      <c r="Y36" s="608"/>
      <c r="Z36" s="708"/>
      <c r="AA36" s="608"/>
      <c r="AB36" s="622"/>
      <c r="AC36" s="608"/>
      <c r="AD36" s="622"/>
      <c r="AE36" s="608"/>
      <c r="AF36" s="608">
        <v>0</v>
      </c>
      <c r="AG36" s="608"/>
      <c r="AH36" s="708"/>
      <c r="AI36" s="608"/>
      <c r="AJ36" s="607">
        <f t="shared" si="46"/>
        <v>0</v>
      </c>
      <c r="AK36" s="608"/>
      <c r="AL36" s="607">
        <f t="shared" si="47"/>
        <v>0</v>
      </c>
      <c r="AM36" s="608"/>
      <c r="AN36" s="607">
        <f t="shared" si="48"/>
        <v>0</v>
      </c>
      <c r="AO36" s="608"/>
      <c r="AP36" s="608">
        <f t="shared" si="49"/>
        <v>0</v>
      </c>
      <c r="AR36" s="622"/>
      <c r="AS36" s="608"/>
      <c r="AT36" s="622"/>
      <c r="AU36" s="608"/>
      <c r="AV36" s="608">
        <v>0</v>
      </c>
      <c r="AW36" s="608"/>
      <c r="AX36" s="607">
        <f>+AJ36-AR36</f>
        <v>0</v>
      </c>
      <c r="AY36" s="608"/>
      <c r="AZ36" s="607">
        <f>+AL36-AT36</f>
        <v>0</v>
      </c>
      <c r="BA36" s="608"/>
      <c r="BB36" s="607">
        <f>+AN36-AV36</f>
        <v>0</v>
      </c>
      <c r="BC36" s="608"/>
      <c r="BD36" s="608">
        <f t="shared" si="50"/>
        <v>0</v>
      </c>
      <c r="BF36" s="708">
        <f t="shared" si="51"/>
        <v>0</v>
      </c>
      <c r="BH36" s="592">
        <f t="shared" si="43"/>
        <v>302</v>
      </c>
    </row>
    <row r="37" spans="1:60" ht="14.5">
      <c r="A37" s="592">
        <f t="shared" si="44"/>
        <v>303</v>
      </c>
      <c r="B37" s="637" t="s">
        <v>1432</v>
      </c>
      <c r="D37" s="706" t="s">
        <v>1433</v>
      </c>
      <c r="F37" s="711" t="s">
        <v>1404</v>
      </c>
      <c r="H37" s="719"/>
      <c r="J37" s="622">
        <v>0</v>
      </c>
      <c r="K37" s="608"/>
      <c r="L37" s="622">
        <v>0</v>
      </c>
      <c r="M37" s="608"/>
      <c r="N37" s="622">
        <v>0</v>
      </c>
      <c r="P37" s="702" t="s">
        <v>1405</v>
      </c>
      <c r="R37" s="608">
        <f t="shared" si="45"/>
        <v>0</v>
      </c>
      <c r="S37" s="608"/>
      <c r="T37" s="608">
        <v>0</v>
      </c>
      <c r="U37" s="608"/>
      <c r="V37" s="608">
        <v>0</v>
      </c>
      <c r="W37" s="608"/>
      <c r="X37" s="608">
        <f t="shared" si="52"/>
        <v>0</v>
      </c>
      <c r="Y37" s="608"/>
      <c r="Z37" s="708"/>
      <c r="AA37" s="608"/>
      <c r="AB37" s="622"/>
      <c r="AC37" s="608"/>
      <c r="AD37" s="622"/>
      <c r="AE37" s="608"/>
      <c r="AF37" s="608">
        <v>0</v>
      </c>
      <c r="AG37" s="608"/>
      <c r="AH37" s="708"/>
      <c r="AI37" s="608"/>
      <c r="AJ37" s="607">
        <f t="shared" si="46"/>
        <v>0</v>
      </c>
      <c r="AK37" s="608"/>
      <c r="AL37" s="607">
        <f t="shared" si="47"/>
        <v>0</v>
      </c>
      <c r="AM37" s="608"/>
      <c r="AN37" s="607">
        <f t="shared" si="48"/>
        <v>0</v>
      </c>
      <c r="AO37" s="608"/>
      <c r="AP37" s="608">
        <f t="shared" si="49"/>
        <v>0</v>
      </c>
      <c r="AR37" s="622"/>
      <c r="AS37" s="608"/>
      <c r="AT37" s="622"/>
      <c r="AU37" s="608"/>
      <c r="AV37" s="608">
        <v>0</v>
      </c>
      <c r="AW37" s="608"/>
      <c r="AX37" s="607">
        <f>+AJ37-AR37</f>
        <v>0</v>
      </c>
      <c r="AY37" s="608"/>
      <c r="AZ37" s="607">
        <f>+AL37-AT37</f>
        <v>0</v>
      </c>
      <c r="BA37" s="608"/>
      <c r="BB37" s="607">
        <f>+AN37-AV37</f>
        <v>0</v>
      </c>
      <c r="BC37" s="608"/>
      <c r="BD37" s="608">
        <f t="shared" si="50"/>
        <v>0</v>
      </c>
      <c r="BF37" s="708">
        <f t="shared" si="51"/>
        <v>0</v>
      </c>
      <c r="BH37" s="592">
        <f t="shared" si="43"/>
        <v>303</v>
      </c>
    </row>
    <row r="38" spans="1:60" ht="14.5">
      <c r="A38" s="592">
        <f t="shared" si="44"/>
        <v>304</v>
      </c>
      <c r="B38" s="623"/>
      <c r="F38" s="711"/>
      <c r="H38" s="719"/>
      <c r="J38" s="622"/>
      <c r="K38" s="608"/>
      <c r="L38" s="622"/>
      <c r="M38" s="608"/>
      <c r="N38" s="622"/>
      <c r="R38" s="608">
        <f t="shared" si="45"/>
        <v>0</v>
      </c>
      <c r="S38" s="608"/>
      <c r="T38" s="608">
        <v>0</v>
      </c>
      <c r="U38" s="608"/>
      <c r="V38" s="608">
        <v>0</v>
      </c>
      <c r="W38" s="608"/>
      <c r="X38" s="608">
        <f t="shared" si="52"/>
        <v>0</v>
      </c>
      <c r="Y38" s="608"/>
      <c r="Z38" s="708"/>
      <c r="AA38" s="608"/>
      <c r="AB38" s="622"/>
      <c r="AC38" s="608"/>
      <c r="AD38" s="622"/>
      <c r="AE38" s="608"/>
      <c r="AF38" s="608">
        <v>0</v>
      </c>
      <c r="AG38" s="608"/>
      <c r="AH38" s="708"/>
      <c r="AI38" s="608"/>
      <c r="AJ38" s="607">
        <f t="shared" si="46"/>
        <v>0</v>
      </c>
      <c r="AK38" s="608"/>
      <c r="AL38" s="607">
        <f t="shared" si="47"/>
        <v>0</v>
      </c>
      <c r="AM38" s="608"/>
      <c r="AN38" s="607">
        <f t="shared" si="48"/>
        <v>0</v>
      </c>
      <c r="AO38" s="608"/>
      <c r="AP38" s="608">
        <f t="shared" si="49"/>
        <v>0</v>
      </c>
      <c r="AR38" s="622"/>
      <c r="AS38" s="608"/>
      <c r="AT38" s="622"/>
      <c r="AU38" s="608"/>
      <c r="AV38" s="608">
        <v>0</v>
      </c>
      <c r="AW38" s="608"/>
      <c r="AX38" s="607">
        <f>+AJ38-AR38</f>
        <v>0</v>
      </c>
      <c r="AY38" s="608"/>
      <c r="AZ38" s="607">
        <f>+AL38-AT38</f>
        <v>0</v>
      </c>
      <c r="BA38" s="608"/>
      <c r="BB38" s="607">
        <f>+AN38-AV38</f>
        <v>0</v>
      </c>
      <c r="BC38" s="608"/>
      <c r="BD38" s="608">
        <f t="shared" si="50"/>
        <v>0</v>
      </c>
      <c r="BF38" s="708">
        <f t="shared" si="51"/>
        <v>0</v>
      </c>
      <c r="BH38" s="592">
        <f t="shared" si="43"/>
        <v>304</v>
      </c>
    </row>
    <row r="39" spans="1:60" ht="14.5">
      <c r="A39" s="592">
        <f>+A38+1</f>
        <v>305</v>
      </c>
      <c r="B39" s="623"/>
      <c r="F39" s="711"/>
      <c r="H39" s="719"/>
      <c r="J39" s="622"/>
      <c r="K39" s="608"/>
      <c r="L39" s="622"/>
      <c r="M39" s="608"/>
      <c r="N39" s="622"/>
      <c r="R39" s="608">
        <f t="shared" si="45"/>
        <v>0</v>
      </c>
      <c r="S39" s="608"/>
      <c r="T39" s="608">
        <v>0</v>
      </c>
      <c r="U39" s="608"/>
      <c r="V39" s="608">
        <v>0</v>
      </c>
      <c r="W39" s="608"/>
      <c r="X39" s="608">
        <f t="shared" si="52"/>
        <v>0</v>
      </c>
      <c r="Y39" s="608"/>
      <c r="Z39" s="708"/>
      <c r="AA39" s="608"/>
      <c r="AB39" s="622"/>
      <c r="AC39" s="608"/>
      <c r="AD39" s="622"/>
      <c r="AE39" s="608"/>
      <c r="AF39" s="608">
        <v>0</v>
      </c>
      <c r="AG39" s="608"/>
      <c r="AH39" s="708"/>
      <c r="AI39" s="608"/>
      <c r="AJ39" s="607">
        <f t="shared" si="46"/>
        <v>0</v>
      </c>
      <c r="AK39" s="608"/>
      <c r="AL39" s="607">
        <f t="shared" si="47"/>
        <v>0</v>
      </c>
      <c r="AM39" s="608"/>
      <c r="AN39" s="607">
        <f t="shared" si="48"/>
        <v>0</v>
      </c>
      <c r="AO39" s="608"/>
      <c r="AP39" s="608">
        <f t="shared" si="49"/>
        <v>0</v>
      </c>
      <c r="AR39" s="622"/>
      <c r="AS39" s="608"/>
      <c r="AT39" s="622"/>
      <c r="AU39" s="608"/>
      <c r="AV39" s="608">
        <v>0</v>
      </c>
      <c r="AW39" s="608"/>
      <c r="AX39" s="607">
        <f>+AJ39-AR39</f>
        <v>0</v>
      </c>
      <c r="AY39" s="608"/>
      <c r="AZ39" s="607">
        <f>+AL39-AT39</f>
        <v>0</v>
      </c>
      <c r="BA39" s="608"/>
      <c r="BB39" s="607">
        <f>+AN39-AV39</f>
        <v>0</v>
      </c>
      <c r="BC39" s="608"/>
      <c r="BD39" s="608">
        <f t="shared" si="50"/>
        <v>0</v>
      </c>
      <c r="BF39" s="708">
        <f t="shared" si="51"/>
        <v>0</v>
      </c>
      <c r="BH39" s="592">
        <f t="shared" si="43"/>
        <v>305</v>
      </c>
    </row>
    <row r="40" spans="1:60" ht="14.5">
      <c r="A40" s="592"/>
      <c r="B40" s="597"/>
      <c r="F40" s="711"/>
      <c r="H40" s="708"/>
      <c r="J40" s="608"/>
      <c r="K40" s="608"/>
      <c r="L40" s="608"/>
      <c r="M40" s="608"/>
      <c r="N40" s="608"/>
      <c r="R40" s="608"/>
      <c r="S40" s="608"/>
      <c r="T40" s="608"/>
      <c r="U40" s="608"/>
      <c r="V40" s="608"/>
      <c r="W40" s="608"/>
      <c r="X40" s="608"/>
      <c r="Y40" s="608"/>
      <c r="Z40" s="708"/>
      <c r="AA40" s="608"/>
      <c r="AB40" s="608"/>
      <c r="AC40" s="608"/>
      <c r="AD40" s="608"/>
      <c r="AE40" s="608"/>
      <c r="AF40" s="608"/>
      <c r="AG40" s="608"/>
      <c r="AH40" s="708"/>
      <c r="AI40" s="608"/>
      <c r="AJ40" s="608"/>
      <c r="AK40" s="608"/>
      <c r="AL40" s="608"/>
      <c r="AM40" s="608"/>
      <c r="AN40" s="608"/>
      <c r="AO40" s="608"/>
      <c r="AP40" s="608"/>
      <c r="AR40" s="608"/>
      <c r="AS40" s="608"/>
      <c r="AT40" s="608"/>
      <c r="AU40" s="608"/>
      <c r="AV40" s="608"/>
      <c r="AW40" s="608"/>
      <c r="AX40" s="608"/>
      <c r="AY40" s="608"/>
      <c r="AZ40" s="608"/>
      <c r="BA40" s="608"/>
      <c r="BB40" s="608"/>
      <c r="BC40" s="608"/>
      <c r="BD40" s="608"/>
      <c r="BF40" s="708"/>
      <c r="BH40" s="592"/>
    </row>
    <row r="41" spans="1:60" ht="14.5">
      <c r="A41" s="324" t="s">
        <v>100</v>
      </c>
      <c r="F41" s="711"/>
      <c r="H41" s="701"/>
      <c r="R41" s="608"/>
      <c r="S41" s="608"/>
      <c r="T41" s="608"/>
      <c r="U41" s="608"/>
      <c r="V41" s="608"/>
      <c r="W41" s="608"/>
      <c r="X41" s="608"/>
      <c r="Y41" s="608"/>
      <c r="Z41" s="708"/>
      <c r="AA41" s="608"/>
      <c r="AC41" s="608"/>
      <c r="AE41" s="608"/>
      <c r="AG41" s="608"/>
      <c r="AH41" s="708"/>
      <c r="AI41" s="608"/>
      <c r="AJ41" s="608"/>
      <c r="AK41" s="608"/>
      <c r="AL41" s="608"/>
      <c r="AM41" s="608"/>
      <c r="AN41" s="608"/>
      <c r="AO41" s="608"/>
      <c r="AP41" s="608"/>
      <c r="AS41" s="608"/>
      <c r="AU41" s="608"/>
      <c r="AW41" s="608"/>
      <c r="AX41" s="608"/>
      <c r="AY41" s="608"/>
      <c r="AZ41" s="608"/>
      <c r="BA41" s="608"/>
      <c r="BB41" s="608"/>
      <c r="BC41" s="608"/>
      <c r="BD41" s="608"/>
      <c r="BH41" s="324" t="s">
        <v>100</v>
      </c>
    </row>
    <row r="42" spans="1:60" ht="14.5">
      <c r="A42" s="592">
        <v>400</v>
      </c>
      <c r="B42" s="590" t="s">
        <v>1434</v>
      </c>
      <c r="F42" s="711"/>
      <c r="H42" s="717">
        <f>ROUND(SUM(H43:H99),0)</f>
        <v>0</v>
      </c>
      <c r="J42" s="611">
        <f>ROUND(SUM(J43:J99),0)</f>
        <v>-346763385</v>
      </c>
      <c r="K42" s="608"/>
      <c r="L42" s="611">
        <f>ROUND(SUM(L43:L99),0)</f>
        <v>-206675379</v>
      </c>
      <c r="M42" s="608"/>
      <c r="N42" s="611">
        <f>ROUND(SUM(N43:N99),0)</f>
        <v>-140088006</v>
      </c>
      <c r="O42" s="592"/>
      <c r="P42" s="592"/>
      <c r="Q42" s="592"/>
      <c r="R42" s="611">
        <f>ROUND(SUM(R43:R99),0)</f>
        <v>0</v>
      </c>
      <c r="S42" s="608"/>
      <c r="T42" s="611">
        <f>ROUND(SUM(T43:T99),0)</f>
        <v>-140088006</v>
      </c>
      <c r="U42" s="608"/>
      <c r="V42" s="611">
        <f>ROUND(SUM(V43:V99),0)</f>
        <v>0</v>
      </c>
      <c r="W42" s="608"/>
      <c r="X42" s="611">
        <f>ROUND(SUM(X43:X99),0)</f>
        <v>-140088006</v>
      </c>
      <c r="Y42" s="608"/>
      <c r="Z42" s="708"/>
      <c r="AA42" s="608"/>
      <c r="AB42" s="611">
        <f>SUM(AB43:AB99)</f>
        <v>0</v>
      </c>
      <c r="AC42" s="608"/>
      <c r="AD42" s="611">
        <f>SUM(AD43:AD99)</f>
        <v>-35245329.751651302</v>
      </c>
      <c r="AE42" s="608"/>
      <c r="AF42" s="611">
        <f>SUM(AF43:AF99)</f>
        <v>0</v>
      </c>
      <c r="AG42" s="608"/>
      <c r="AH42" s="708"/>
      <c r="AI42" s="608"/>
      <c r="AJ42" s="611">
        <f>SUM(AJ43:AJ99)</f>
        <v>0</v>
      </c>
      <c r="AK42" s="608"/>
      <c r="AL42" s="611">
        <f>SUM(AL43:AL99)</f>
        <v>-104842676.26941842</v>
      </c>
      <c r="AM42" s="608"/>
      <c r="AN42" s="611">
        <f>SUM(AN43:AN99)</f>
        <v>0</v>
      </c>
      <c r="AO42" s="608"/>
      <c r="AP42" s="611">
        <f>SUM(AP43:AP99)</f>
        <v>-104842676.26941842</v>
      </c>
      <c r="AR42" s="611">
        <f>SUM(AR43:AR99)</f>
        <v>0</v>
      </c>
      <c r="AS42" s="608"/>
      <c r="AT42" s="611">
        <f>SUM(AT43:AT99)</f>
        <v>-14324173.144193165</v>
      </c>
      <c r="AU42" s="608"/>
      <c r="AV42" s="611">
        <f>SUM(AV43:AV99)</f>
        <v>0</v>
      </c>
      <c r="AW42" s="608"/>
      <c r="AX42" s="611">
        <f>SUM(AX43:AX99)</f>
        <v>0</v>
      </c>
      <c r="AY42" s="608"/>
      <c r="AZ42" s="611">
        <f>SUM(AZ43:AZ99)</f>
        <v>-90518503.125225246</v>
      </c>
      <c r="BA42" s="608"/>
      <c r="BB42" s="611">
        <f>SUM(BB43:BB99)</f>
        <v>0</v>
      </c>
      <c r="BC42" s="608"/>
      <c r="BD42" s="611">
        <f>SUM(BD43:BD99)</f>
        <v>-90518503.125225246</v>
      </c>
      <c r="BF42" s="717">
        <f>ROUND(SUM(BF43:BF99),0)</f>
        <v>-125691513</v>
      </c>
      <c r="BH42" s="592">
        <f t="shared" ref="BH42:BH73" si="53">A42</f>
        <v>400</v>
      </c>
    </row>
    <row r="43" spans="1:60" ht="14.5">
      <c r="A43" s="592">
        <f t="shared" ref="A43:A99" si="54">A42+1</f>
        <v>401</v>
      </c>
      <c r="B43" s="624" t="s">
        <v>1435</v>
      </c>
      <c r="F43" s="711" t="s">
        <v>1404</v>
      </c>
      <c r="H43" s="719"/>
      <c r="J43" s="622">
        <v>-2434619.1484139045</v>
      </c>
      <c r="K43" s="608"/>
      <c r="L43" s="622">
        <v>-1460771.1451043426</v>
      </c>
      <c r="M43" s="608"/>
      <c r="N43" s="622">
        <v>-973848.00330956175</v>
      </c>
      <c r="P43" s="709" t="s">
        <v>1405</v>
      </c>
      <c r="R43" s="608">
        <v>0</v>
      </c>
      <c r="S43" s="608"/>
      <c r="T43" s="608">
        <f>N43</f>
        <v>-973848.00330956175</v>
      </c>
      <c r="U43" s="608"/>
      <c r="V43" s="608">
        <v>0</v>
      </c>
      <c r="W43" s="608"/>
      <c r="X43" s="608">
        <f>SUM(R43:V43)</f>
        <v>-973848.00330956175</v>
      </c>
      <c r="Y43" s="608"/>
      <c r="Z43" s="609" t="s">
        <v>1406</v>
      </c>
      <c r="AA43" s="608"/>
      <c r="AB43" s="608">
        <v>0</v>
      </c>
      <c r="AC43" s="608"/>
      <c r="AD43" s="622">
        <v>-245014.50894711379</v>
      </c>
      <c r="AE43" s="608"/>
      <c r="AF43" s="608">
        <v>0</v>
      </c>
      <c r="AG43" s="608"/>
      <c r="AH43" s="609" t="s">
        <v>1407</v>
      </c>
      <c r="AI43" s="608"/>
      <c r="AJ43" s="607">
        <f t="shared" ref="AJ43:AJ99" si="55">+R43-AB43</f>
        <v>0</v>
      </c>
      <c r="AK43" s="608"/>
      <c r="AL43" s="607">
        <f t="shared" ref="AL43:AL99" si="56">+T43-AD43</f>
        <v>-728833.49436244799</v>
      </c>
      <c r="AM43" s="608"/>
      <c r="AN43" s="607">
        <f t="shared" ref="AN43:AN99" si="57">+V43-AF43</f>
        <v>0</v>
      </c>
      <c r="AO43" s="608"/>
      <c r="AP43" s="608">
        <f t="shared" ref="AP43:AP99" si="58">SUM(AJ43:AN43)</f>
        <v>-728833.49436244799</v>
      </c>
      <c r="AR43" s="608">
        <v>0</v>
      </c>
      <c r="AS43" s="608"/>
      <c r="AT43" s="797">
        <v>-99577.171606218006</v>
      </c>
      <c r="AU43" s="608"/>
      <c r="AV43" s="608">
        <v>0</v>
      </c>
      <c r="AW43" s="608"/>
      <c r="AX43" s="607">
        <f t="shared" ref="AX43:AX74" si="59">+AJ43-AR43</f>
        <v>0</v>
      </c>
      <c r="AY43" s="608"/>
      <c r="AZ43" s="607">
        <f t="shared" ref="AZ43:AZ74" si="60">+AL43-AT43</f>
        <v>-629256.32275623002</v>
      </c>
      <c r="BA43" s="608"/>
      <c r="BB43" s="607">
        <f t="shared" ref="BB43:BB74" si="61">+AN43-AV43</f>
        <v>0</v>
      </c>
      <c r="BC43" s="608"/>
      <c r="BD43" s="608">
        <f t="shared" ref="BD43:BD99" si="62">SUM(AX43:BB43)</f>
        <v>-629256.32275623002</v>
      </c>
      <c r="BF43" s="708">
        <f t="shared" ref="BF43:BF99" si="63">+BD43*$BF$9</f>
        <v>-873768.08998537832</v>
      </c>
      <c r="BH43" s="592">
        <f t="shared" si="53"/>
        <v>401</v>
      </c>
    </row>
    <row r="44" spans="1:60" ht="14.5">
      <c r="A44" s="592">
        <f t="shared" si="54"/>
        <v>402</v>
      </c>
      <c r="B44" s="624" t="s">
        <v>1436</v>
      </c>
      <c r="F44" s="711" t="s">
        <v>1404</v>
      </c>
      <c r="H44" s="719"/>
      <c r="J44" s="622">
        <v>-448269.85840000003</v>
      </c>
      <c r="K44" s="608"/>
      <c r="L44" s="622">
        <v>-268961.71440600004</v>
      </c>
      <c r="M44" s="608"/>
      <c r="N44" s="622">
        <v>-179308.14399399998</v>
      </c>
      <c r="P44" s="709" t="s">
        <v>1405</v>
      </c>
      <c r="R44" s="608">
        <v>0</v>
      </c>
      <c r="S44" s="608"/>
      <c r="T44" s="608">
        <f t="shared" ref="T44:T96" si="64">N44</f>
        <v>-179308.14399399998</v>
      </c>
      <c r="U44" s="608"/>
      <c r="V44" s="608">
        <v>0</v>
      </c>
      <c r="W44" s="608"/>
      <c r="X44" s="608">
        <f t="shared" ref="X44:X96" si="65">SUM(R44:V44)</f>
        <v>-179308.14399399998</v>
      </c>
      <c r="Y44" s="608"/>
      <c r="Z44" s="609" t="s">
        <v>1406</v>
      </c>
      <c r="AA44" s="608"/>
      <c r="AB44" s="608">
        <v>0</v>
      </c>
      <c r="AC44" s="608"/>
      <c r="AD44" s="622">
        <v>-45112.888974053836</v>
      </c>
      <c r="AE44" s="608"/>
      <c r="AF44" s="608">
        <v>0</v>
      </c>
      <c r="AG44" s="608"/>
      <c r="AH44" s="609" t="s">
        <v>1407</v>
      </c>
      <c r="AI44" s="608"/>
      <c r="AJ44" s="607">
        <f t="shared" si="55"/>
        <v>0</v>
      </c>
      <c r="AK44" s="608"/>
      <c r="AL44" s="607">
        <f t="shared" si="56"/>
        <v>-134195.25501994614</v>
      </c>
      <c r="AM44" s="608"/>
      <c r="AN44" s="607">
        <f t="shared" si="57"/>
        <v>0</v>
      </c>
      <c r="AO44" s="608"/>
      <c r="AP44" s="608">
        <f t="shared" si="58"/>
        <v>-134195.25501994614</v>
      </c>
      <c r="AR44" s="608">
        <v>0</v>
      </c>
      <c r="AS44" s="608"/>
      <c r="AT44" s="797">
        <v>-18334.481114305199</v>
      </c>
      <c r="AU44" s="608"/>
      <c r="AV44" s="608">
        <v>0</v>
      </c>
      <c r="AW44" s="608"/>
      <c r="AX44" s="607">
        <f t="shared" si="59"/>
        <v>0</v>
      </c>
      <c r="AY44" s="608"/>
      <c r="AZ44" s="607">
        <f t="shared" si="60"/>
        <v>-115860.77390564093</v>
      </c>
      <c r="BA44" s="608"/>
      <c r="BB44" s="607">
        <f t="shared" si="61"/>
        <v>0</v>
      </c>
      <c r="BC44" s="608"/>
      <c r="BD44" s="608">
        <f t="shared" si="62"/>
        <v>-115860.77390564093</v>
      </c>
      <c r="BF44" s="708">
        <f t="shared" si="63"/>
        <v>-160881.09639698864</v>
      </c>
      <c r="BH44" s="592">
        <f t="shared" si="53"/>
        <v>402</v>
      </c>
    </row>
    <row r="45" spans="1:60" ht="14.5">
      <c r="A45" s="592">
        <f t="shared" si="54"/>
        <v>403</v>
      </c>
      <c r="B45" s="624" t="s">
        <v>1437</v>
      </c>
      <c r="F45" s="711" t="s">
        <v>1404</v>
      </c>
      <c r="H45" s="719"/>
      <c r="J45" s="622">
        <v>-54964684.313400358</v>
      </c>
      <c r="K45" s="608"/>
      <c r="L45" s="622">
        <v>-32978810.784167517</v>
      </c>
      <c r="M45" s="608"/>
      <c r="N45" s="622">
        <v>-21985873.529232834</v>
      </c>
      <c r="P45" s="709" t="s">
        <v>1405</v>
      </c>
      <c r="R45" s="608">
        <v>0</v>
      </c>
      <c r="S45" s="608"/>
      <c r="T45" s="608">
        <f t="shared" si="64"/>
        <v>-21985873.529232834</v>
      </c>
      <c r="U45" s="608"/>
      <c r="V45" s="608">
        <v>0</v>
      </c>
      <c r="W45" s="608"/>
      <c r="X45" s="608">
        <f t="shared" si="65"/>
        <v>-21985873.529232834</v>
      </c>
      <c r="Y45" s="608"/>
      <c r="Z45" s="609" t="s">
        <v>1406</v>
      </c>
      <c r="AA45" s="608"/>
      <c r="AB45" s="608">
        <v>0</v>
      </c>
      <c r="AC45" s="608"/>
      <c r="AD45" s="622">
        <v>-5531518.2535995655</v>
      </c>
      <c r="AE45" s="608"/>
      <c r="AF45" s="608">
        <v>0</v>
      </c>
      <c r="AG45" s="608"/>
      <c r="AH45" s="609" t="s">
        <v>1407</v>
      </c>
      <c r="AI45" s="608"/>
      <c r="AJ45" s="607">
        <f t="shared" si="55"/>
        <v>0</v>
      </c>
      <c r="AK45" s="608"/>
      <c r="AL45" s="607">
        <f t="shared" si="56"/>
        <v>-16454355.275633268</v>
      </c>
      <c r="AM45" s="608"/>
      <c r="AN45" s="607">
        <f t="shared" si="57"/>
        <v>0</v>
      </c>
      <c r="AO45" s="608"/>
      <c r="AP45" s="608">
        <f t="shared" si="58"/>
        <v>-16454355.275633268</v>
      </c>
      <c r="AR45" s="608">
        <v>0</v>
      </c>
      <c r="AS45" s="608"/>
      <c r="AT45" s="797">
        <v>-2248082.9594483478</v>
      </c>
      <c r="AU45" s="608"/>
      <c r="AV45" s="608">
        <v>0</v>
      </c>
      <c r="AW45" s="608"/>
      <c r="AX45" s="607">
        <f t="shared" si="59"/>
        <v>0</v>
      </c>
      <c r="AY45" s="608"/>
      <c r="AZ45" s="607">
        <f t="shared" si="60"/>
        <v>-14206272.316184919</v>
      </c>
      <c r="BA45" s="608"/>
      <c r="BB45" s="607">
        <f t="shared" si="61"/>
        <v>0</v>
      </c>
      <c r="BC45" s="608"/>
      <c r="BD45" s="608">
        <f t="shared" si="62"/>
        <v>-14206272.316184919</v>
      </c>
      <c r="BF45" s="708">
        <f t="shared" si="63"/>
        <v>-19726440.527692191</v>
      </c>
      <c r="BH45" s="592">
        <f t="shared" si="53"/>
        <v>403</v>
      </c>
    </row>
    <row r="46" spans="1:60" ht="14.5">
      <c r="A46" s="592">
        <f t="shared" si="54"/>
        <v>404</v>
      </c>
      <c r="B46" s="624" t="s">
        <v>1438</v>
      </c>
      <c r="F46" s="711" t="s">
        <v>1404</v>
      </c>
      <c r="H46" s="719"/>
      <c r="J46" s="622">
        <v>-20602724.375152476</v>
      </c>
      <c r="K46" s="608"/>
      <c r="L46" s="622">
        <v>-12361634.400661021</v>
      </c>
      <c r="M46" s="608"/>
      <c r="N46" s="622">
        <v>-8241089.9744914537</v>
      </c>
      <c r="P46" s="709" t="s">
        <v>1405</v>
      </c>
      <c r="R46" s="608">
        <v>0</v>
      </c>
      <c r="S46" s="608"/>
      <c r="T46" s="608">
        <f t="shared" si="64"/>
        <v>-8241089.9744914537</v>
      </c>
      <c r="U46" s="608"/>
      <c r="V46" s="608">
        <v>0</v>
      </c>
      <c r="W46" s="608"/>
      <c r="X46" s="608">
        <f t="shared" si="65"/>
        <v>-8241089.9744914537</v>
      </c>
      <c r="Y46" s="608"/>
      <c r="Z46" s="609" t="s">
        <v>1406</v>
      </c>
      <c r="AA46" s="608"/>
      <c r="AB46" s="608">
        <v>0</v>
      </c>
      <c r="AC46" s="608"/>
      <c r="AD46" s="622">
        <v>-2073410.4361532044</v>
      </c>
      <c r="AE46" s="608"/>
      <c r="AF46" s="608">
        <v>0</v>
      </c>
      <c r="AG46" s="608"/>
      <c r="AH46" s="609" t="s">
        <v>1407</v>
      </c>
      <c r="AI46" s="608"/>
      <c r="AJ46" s="607">
        <f t="shared" si="55"/>
        <v>0</v>
      </c>
      <c r="AK46" s="608"/>
      <c r="AL46" s="607">
        <f t="shared" si="56"/>
        <v>-6167679.5383382495</v>
      </c>
      <c r="AM46" s="608"/>
      <c r="AN46" s="607">
        <f t="shared" si="57"/>
        <v>0</v>
      </c>
      <c r="AO46" s="608"/>
      <c r="AP46" s="608">
        <f t="shared" si="58"/>
        <v>-6167679.5383382495</v>
      </c>
      <c r="AR46" s="608">
        <v>0</v>
      </c>
      <c r="AS46" s="608"/>
      <c r="AT46" s="797">
        <v>-842661.71704760636</v>
      </c>
      <c r="AU46" s="608"/>
      <c r="AV46" s="608">
        <v>0</v>
      </c>
      <c r="AW46" s="608"/>
      <c r="AX46" s="607">
        <f t="shared" si="59"/>
        <v>0</v>
      </c>
      <c r="AY46" s="608"/>
      <c r="AZ46" s="607">
        <f t="shared" si="60"/>
        <v>-5325017.821290643</v>
      </c>
      <c r="BA46" s="608"/>
      <c r="BB46" s="607">
        <f t="shared" si="61"/>
        <v>0</v>
      </c>
      <c r="BC46" s="608"/>
      <c r="BD46" s="608">
        <f t="shared" si="62"/>
        <v>-5325017.821290643</v>
      </c>
      <c r="BF46" s="708">
        <f t="shared" si="63"/>
        <v>-7394173.8566363249</v>
      </c>
      <c r="BH46" s="592">
        <f t="shared" si="53"/>
        <v>404</v>
      </c>
    </row>
    <row r="47" spans="1:60" ht="14.5">
      <c r="A47" s="592">
        <f t="shared" si="54"/>
        <v>405</v>
      </c>
      <c r="B47" s="624" t="s">
        <v>1439</v>
      </c>
      <c r="F47" s="711" t="s">
        <v>1404</v>
      </c>
      <c r="H47" s="719"/>
      <c r="J47" s="622">
        <v>-523661.88911936671</v>
      </c>
      <c r="K47" s="608"/>
      <c r="L47" s="622">
        <v>-314197.16501846712</v>
      </c>
      <c r="M47" s="608"/>
      <c r="N47" s="622">
        <v>-209464.72410089959</v>
      </c>
      <c r="P47" s="709" t="s">
        <v>1405</v>
      </c>
      <c r="R47" s="608">
        <v>0</v>
      </c>
      <c r="S47" s="608"/>
      <c r="T47" s="608">
        <f t="shared" si="64"/>
        <v>-209464.72410089959</v>
      </c>
      <c r="U47" s="608"/>
      <c r="V47" s="608">
        <v>0</v>
      </c>
      <c r="W47" s="608"/>
      <c r="X47" s="608">
        <f t="shared" si="65"/>
        <v>-209464.72410089959</v>
      </c>
      <c r="Y47" s="608"/>
      <c r="Z47" s="609" t="s">
        <v>1406</v>
      </c>
      <c r="AA47" s="608"/>
      <c r="AB47" s="608">
        <v>0</v>
      </c>
      <c r="AC47" s="608"/>
      <c r="AD47" s="622">
        <v>-52700.109609415747</v>
      </c>
      <c r="AE47" s="608"/>
      <c r="AF47" s="608">
        <v>0</v>
      </c>
      <c r="AG47" s="608"/>
      <c r="AH47" s="609" t="s">
        <v>1407</v>
      </c>
      <c r="AI47" s="608"/>
      <c r="AJ47" s="607">
        <f t="shared" si="55"/>
        <v>0</v>
      </c>
      <c r="AK47" s="608"/>
      <c r="AL47" s="607">
        <f t="shared" si="56"/>
        <v>-156764.61449148384</v>
      </c>
      <c r="AM47" s="608"/>
      <c r="AN47" s="607">
        <f t="shared" si="57"/>
        <v>0</v>
      </c>
      <c r="AO47" s="608"/>
      <c r="AP47" s="608">
        <f t="shared" si="58"/>
        <v>-156764.61449148384</v>
      </c>
      <c r="AR47" s="608">
        <v>0</v>
      </c>
      <c r="AS47" s="608"/>
      <c r="AT47" s="797">
        <v>-21418.029000788727</v>
      </c>
      <c r="AU47" s="608"/>
      <c r="AV47" s="608">
        <v>0</v>
      </c>
      <c r="AW47" s="608"/>
      <c r="AX47" s="607">
        <f t="shared" si="59"/>
        <v>0</v>
      </c>
      <c r="AY47" s="608"/>
      <c r="AZ47" s="607">
        <f t="shared" si="60"/>
        <v>-135346.58549069511</v>
      </c>
      <c r="BA47" s="608"/>
      <c r="BB47" s="607">
        <f t="shared" si="61"/>
        <v>0</v>
      </c>
      <c r="BC47" s="608"/>
      <c r="BD47" s="608">
        <f t="shared" si="62"/>
        <v>-135346.58549069511</v>
      </c>
      <c r="BF47" s="708">
        <f t="shared" si="63"/>
        <v>-187938.56050940495</v>
      </c>
      <c r="BH47" s="592">
        <f t="shared" si="53"/>
        <v>405</v>
      </c>
    </row>
    <row r="48" spans="1:60" ht="14.5">
      <c r="A48" s="592">
        <f t="shared" si="54"/>
        <v>406</v>
      </c>
      <c r="B48" s="624" t="s">
        <v>1440</v>
      </c>
      <c r="F48" s="711" t="s">
        <v>1404</v>
      </c>
      <c r="H48" s="719"/>
      <c r="J48" s="622">
        <v>200460.11720000001</v>
      </c>
      <c r="K48" s="608"/>
      <c r="L48" s="622">
        <v>120276.27095399999</v>
      </c>
      <c r="M48" s="608"/>
      <c r="N48" s="622">
        <v>80183.846246000001</v>
      </c>
      <c r="P48" s="709" t="s">
        <v>1405</v>
      </c>
      <c r="R48" s="608">
        <v>0</v>
      </c>
      <c r="S48" s="608"/>
      <c r="T48" s="608">
        <f t="shared" si="64"/>
        <v>80183.846246000001</v>
      </c>
      <c r="U48" s="608"/>
      <c r="V48" s="608">
        <v>0</v>
      </c>
      <c r="W48" s="608"/>
      <c r="X48" s="608">
        <f t="shared" si="65"/>
        <v>80183.846246000001</v>
      </c>
      <c r="Y48" s="608"/>
      <c r="Z48" s="609" t="s">
        <v>1406</v>
      </c>
      <c r="AA48" s="608"/>
      <c r="AB48" s="608">
        <v>0</v>
      </c>
      <c r="AC48" s="608"/>
      <c r="AD48" s="622">
        <v>20173.79061895507</v>
      </c>
      <c r="AE48" s="608"/>
      <c r="AF48" s="608">
        <v>0</v>
      </c>
      <c r="AG48" s="608"/>
      <c r="AH48" s="609" t="s">
        <v>1407</v>
      </c>
      <c r="AI48" s="608"/>
      <c r="AJ48" s="607">
        <f t="shared" si="55"/>
        <v>0</v>
      </c>
      <c r="AK48" s="608"/>
      <c r="AL48" s="607">
        <f t="shared" si="56"/>
        <v>60010.055627044931</v>
      </c>
      <c r="AM48" s="608"/>
      <c r="AN48" s="607">
        <f t="shared" si="57"/>
        <v>0</v>
      </c>
      <c r="AO48" s="608"/>
      <c r="AP48" s="608">
        <f t="shared" si="58"/>
        <v>60010.055627044931</v>
      </c>
      <c r="AR48" s="608">
        <v>0</v>
      </c>
      <c r="AS48" s="608"/>
      <c r="AT48" s="797">
        <v>8198.8981756390949</v>
      </c>
      <c r="AU48" s="608"/>
      <c r="AV48" s="608">
        <v>0</v>
      </c>
      <c r="AW48" s="608"/>
      <c r="AX48" s="607">
        <f t="shared" si="59"/>
        <v>0</v>
      </c>
      <c r="AY48" s="608"/>
      <c r="AZ48" s="607">
        <f t="shared" si="60"/>
        <v>51811.157451405837</v>
      </c>
      <c r="BA48" s="608"/>
      <c r="BB48" s="607">
        <f t="shared" si="61"/>
        <v>0</v>
      </c>
      <c r="BC48" s="608"/>
      <c r="BD48" s="608">
        <f t="shared" si="62"/>
        <v>51811.157451405837</v>
      </c>
      <c r="BF48" s="708">
        <f t="shared" si="63"/>
        <v>71943.553761928997</v>
      </c>
      <c r="BH48" s="592">
        <f t="shared" si="53"/>
        <v>406</v>
      </c>
    </row>
    <row r="49" spans="1:60" ht="14.5">
      <c r="A49" s="592">
        <f t="shared" si="54"/>
        <v>407</v>
      </c>
      <c r="B49" s="624" t="s">
        <v>1441</v>
      </c>
      <c r="F49" s="711" t="s">
        <v>1404</v>
      </c>
      <c r="H49" s="719"/>
      <c r="J49" s="622">
        <v>-213631.2616</v>
      </c>
      <c r="K49" s="608"/>
      <c r="L49" s="622">
        <v>-128178.642312</v>
      </c>
      <c r="M49" s="608"/>
      <c r="N49" s="622">
        <v>-85452.619288000002</v>
      </c>
      <c r="P49" s="709" t="s">
        <v>1405</v>
      </c>
      <c r="R49" s="608">
        <v>0</v>
      </c>
      <c r="S49" s="608"/>
      <c r="T49" s="608">
        <f t="shared" si="64"/>
        <v>-85452.619288000002</v>
      </c>
      <c r="U49" s="608"/>
      <c r="V49" s="608">
        <v>0</v>
      </c>
      <c r="W49" s="608"/>
      <c r="X49" s="608">
        <f t="shared" si="65"/>
        <v>-85452.619288000002</v>
      </c>
      <c r="Y49" s="608"/>
      <c r="Z49" s="609" t="s">
        <v>1406</v>
      </c>
      <c r="AA49" s="608"/>
      <c r="AB49" s="608">
        <v>0</v>
      </c>
      <c r="AC49" s="608"/>
      <c r="AD49" s="622">
        <v>-21499.383355452235</v>
      </c>
      <c r="AE49" s="608"/>
      <c r="AF49" s="608">
        <v>0</v>
      </c>
      <c r="AG49" s="608"/>
      <c r="AH49" s="609" t="s">
        <v>1407</v>
      </c>
      <c r="AI49" s="608"/>
      <c r="AJ49" s="607">
        <f t="shared" si="55"/>
        <v>0</v>
      </c>
      <c r="AK49" s="608"/>
      <c r="AL49" s="607">
        <f t="shared" si="56"/>
        <v>-63953.235932547766</v>
      </c>
      <c r="AM49" s="608"/>
      <c r="AN49" s="607">
        <f t="shared" si="57"/>
        <v>0</v>
      </c>
      <c r="AO49" s="608"/>
      <c r="AP49" s="608">
        <f t="shared" si="58"/>
        <v>-63953.235932547766</v>
      </c>
      <c r="AR49" s="608">
        <v>0</v>
      </c>
      <c r="AS49" s="608"/>
      <c r="AT49" s="797">
        <v>-8737.636783280599</v>
      </c>
      <c r="AU49" s="608"/>
      <c r="AV49" s="608">
        <v>0</v>
      </c>
      <c r="AW49" s="608"/>
      <c r="AX49" s="607">
        <f t="shared" si="59"/>
        <v>0</v>
      </c>
      <c r="AY49" s="608"/>
      <c r="AZ49" s="607">
        <f t="shared" si="60"/>
        <v>-55215.599149267167</v>
      </c>
      <c r="BA49" s="608"/>
      <c r="BB49" s="607">
        <f t="shared" si="61"/>
        <v>0</v>
      </c>
      <c r="BC49" s="608"/>
      <c r="BD49" s="608">
        <f t="shared" si="62"/>
        <v>-55215.599149267167</v>
      </c>
      <c r="BF49" s="708">
        <f t="shared" si="63"/>
        <v>-76670.868231773828</v>
      </c>
      <c r="BH49" s="592">
        <f t="shared" si="53"/>
        <v>407</v>
      </c>
    </row>
    <row r="50" spans="1:60" ht="14.5">
      <c r="A50" s="592">
        <f t="shared" si="54"/>
        <v>408</v>
      </c>
      <c r="B50" s="624" t="s">
        <v>1442</v>
      </c>
      <c r="F50" s="711" t="s">
        <v>1404</v>
      </c>
      <c r="H50" s="719"/>
      <c r="J50" s="622">
        <v>2328139.9133534944</v>
      </c>
      <c r="K50" s="608"/>
      <c r="L50" s="622">
        <v>1396884.1244907889</v>
      </c>
      <c r="M50" s="608"/>
      <c r="N50" s="622">
        <v>931255.78886270523</v>
      </c>
      <c r="P50" s="709" t="s">
        <v>1405</v>
      </c>
      <c r="R50" s="608">
        <v>0</v>
      </c>
      <c r="S50" s="608"/>
      <c r="T50" s="608">
        <f t="shared" si="64"/>
        <v>931255.78886270523</v>
      </c>
      <c r="U50" s="608"/>
      <c r="V50" s="608">
        <v>0</v>
      </c>
      <c r="W50" s="608"/>
      <c r="X50" s="608">
        <f t="shared" si="65"/>
        <v>931255.78886270523</v>
      </c>
      <c r="Y50" s="608"/>
      <c r="Z50" s="609" t="s">
        <v>1406</v>
      </c>
      <c r="AA50" s="608"/>
      <c r="AB50" s="608">
        <v>0</v>
      </c>
      <c r="AC50" s="608"/>
      <c r="AD50" s="622">
        <v>234298.55484318626</v>
      </c>
      <c r="AE50" s="608"/>
      <c r="AF50" s="608">
        <v>0</v>
      </c>
      <c r="AG50" s="608"/>
      <c r="AH50" s="609" t="s">
        <v>1407</v>
      </c>
      <c r="AI50" s="608"/>
      <c r="AJ50" s="607">
        <f t="shared" si="55"/>
        <v>0</v>
      </c>
      <c r="AK50" s="608"/>
      <c r="AL50" s="607">
        <f t="shared" si="56"/>
        <v>696957.23401951895</v>
      </c>
      <c r="AM50" s="608"/>
      <c r="AN50" s="607">
        <f t="shared" si="57"/>
        <v>0</v>
      </c>
      <c r="AO50" s="608"/>
      <c r="AP50" s="608">
        <f t="shared" si="58"/>
        <v>696957.23401951895</v>
      </c>
      <c r="AR50" s="608">
        <v>0</v>
      </c>
      <c r="AS50" s="608"/>
      <c r="AT50" s="797">
        <v>95222.06461554805</v>
      </c>
      <c r="AU50" s="608"/>
      <c r="AV50" s="608">
        <v>0</v>
      </c>
      <c r="AW50" s="608"/>
      <c r="AX50" s="607">
        <f t="shared" si="59"/>
        <v>0</v>
      </c>
      <c r="AY50" s="608"/>
      <c r="AZ50" s="607">
        <f t="shared" si="60"/>
        <v>601735.16940397094</v>
      </c>
      <c r="BA50" s="608"/>
      <c r="BB50" s="607">
        <f t="shared" si="61"/>
        <v>0</v>
      </c>
      <c r="BC50" s="608"/>
      <c r="BD50" s="608">
        <f t="shared" si="62"/>
        <v>601735.16940397094</v>
      </c>
      <c r="BF50" s="708">
        <f t="shared" si="63"/>
        <v>835552.97044002602</v>
      </c>
      <c r="BH50" s="592">
        <f t="shared" si="53"/>
        <v>408</v>
      </c>
    </row>
    <row r="51" spans="1:60" ht="14.5">
      <c r="A51" s="592">
        <f t="shared" si="54"/>
        <v>409</v>
      </c>
      <c r="B51" s="624" t="s">
        <v>1443</v>
      </c>
      <c r="F51" s="711" t="s">
        <v>1404</v>
      </c>
      <c r="H51" s="719"/>
      <c r="J51" s="622">
        <v>-215413.08259999999</v>
      </c>
      <c r="K51" s="608"/>
      <c r="L51" s="622">
        <v>-129247.82089800001</v>
      </c>
      <c r="M51" s="608"/>
      <c r="N51" s="622">
        <v>-86165.261702000003</v>
      </c>
      <c r="P51" s="709" t="s">
        <v>1405</v>
      </c>
      <c r="R51" s="608">
        <v>0</v>
      </c>
      <c r="S51" s="608"/>
      <c r="T51" s="608">
        <f t="shared" si="64"/>
        <v>-86165.261702000003</v>
      </c>
      <c r="U51" s="608"/>
      <c r="V51" s="608">
        <v>0</v>
      </c>
      <c r="W51" s="608"/>
      <c r="X51" s="608">
        <f t="shared" si="65"/>
        <v>-86165.261702000003</v>
      </c>
      <c r="Y51" s="608"/>
      <c r="Z51" s="609" t="s">
        <v>1406</v>
      </c>
      <c r="AA51" s="608"/>
      <c r="AB51" s="608">
        <v>0</v>
      </c>
      <c r="AC51" s="608"/>
      <c r="AD51" s="622">
        <v>-21678.680053219956</v>
      </c>
      <c r="AE51" s="608"/>
      <c r="AF51" s="608">
        <v>0</v>
      </c>
      <c r="AG51" s="608"/>
      <c r="AH51" s="609" t="s">
        <v>1407</v>
      </c>
      <c r="AI51" s="608"/>
      <c r="AJ51" s="607">
        <f t="shared" si="55"/>
        <v>0</v>
      </c>
      <c r="AK51" s="608"/>
      <c r="AL51" s="607">
        <f t="shared" si="56"/>
        <v>-64486.581648780048</v>
      </c>
      <c r="AM51" s="608"/>
      <c r="AN51" s="607">
        <f t="shared" si="57"/>
        <v>0</v>
      </c>
      <c r="AO51" s="608"/>
      <c r="AP51" s="608">
        <f t="shared" si="58"/>
        <v>-64486.581648780048</v>
      </c>
      <c r="AR51" s="608">
        <v>0</v>
      </c>
      <c r="AS51" s="608"/>
      <c r="AT51" s="797">
        <v>-8810.5053579571231</v>
      </c>
      <c r="AU51" s="608"/>
      <c r="AV51" s="608">
        <v>0</v>
      </c>
      <c r="AW51" s="608"/>
      <c r="AX51" s="607">
        <f t="shared" si="59"/>
        <v>0</v>
      </c>
      <c r="AY51" s="608"/>
      <c r="AZ51" s="607">
        <f t="shared" si="60"/>
        <v>-55676.076290822923</v>
      </c>
      <c r="BA51" s="608"/>
      <c r="BB51" s="607">
        <f t="shared" si="61"/>
        <v>0</v>
      </c>
      <c r="BC51" s="608"/>
      <c r="BD51" s="608">
        <f t="shared" si="62"/>
        <v>-55676.076290822923</v>
      </c>
      <c r="BF51" s="708">
        <f t="shared" si="63"/>
        <v>-77310.274174803126</v>
      </c>
      <c r="BH51" s="592">
        <f t="shared" si="53"/>
        <v>409</v>
      </c>
    </row>
    <row r="52" spans="1:60" ht="14.5">
      <c r="A52" s="592">
        <f t="shared" si="54"/>
        <v>410</v>
      </c>
      <c r="B52" s="624" t="s">
        <v>1444</v>
      </c>
      <c r="F52" s="711" t="s">
        <v>1404</v>
      </c>
      <c r="H52" s="719"/>
      <c r="J52" s="622">
        <v>-2118462.1781889452</v>
      </c>
      <c r="K52" s="608"/>
      <c r="L52" s="622">
        <v>-1271077.2434608291</v>
      </c>
      <c r="M52" s="608"/>
      <c r="N52" s="622">
        <v>-847384.9347281158</v>
      </c>
      <c r="P52" s="709" t="s">
        <v>1405</v>
      </c>
      <c r="R52" s="608">
        <v>0</v>
      </c>
      <c r="S52" s="608"/>
      <c r="T52" s="608">
        <f t="shared" si="64"/>
        <v>-847384.9347281158</v>
      </c>
      <c r="U52" s="608"/>
      <c r="V52" s="608">
        <v>0</v>
      </c>
      <c r="W52" s="608"/>
      <c r="X52" s="608">
        <f t="shared" si="65"/>
        <v>-847384.9347281158</v>
      </c>
      <c r="Y52" s="608"/>
      <c r="Z52" s="609" t="s">
        <v>1406</v>
      </c>
      <c r="AA52" s="608"/>
      <c r="AB52" s="608">
        <v>0</v>
      </c>
      <c r="AC52" s="608"/>
      <c r="AD52" s="622">
        <v>-213197.1344254979</v>
      </c>
      <c r="AE52" s="608"/>
      <c r="AF52" s="608">
        <v>0</v>
      </c>
      <c r="AG52" s="608"/>
      <c r="AH52" s="609" t="s">
        <v>1407</v>
      </c>
      <c r="AI52" s="608"/>
      <c r="AJ52" s="607">
        <f t="shared" si="55"/>
        <v>0</v>
      </c>
      <c r="AK52" s="608"/>
      <c r="AL52" s="607">
        <f t="shared" si="56"/>
        <v>-634187.80030261795</v>
      </c>
      <c r="AM52" s="608"/>
      <c r="AN52" s="607">
        <f t="shared" si="57"/>
        <v>0</v>
      </c>
      <c r="AO52" s="608"/>
      <c r="AP52" s="608">
        <f t="shared" si="58"/>
        <v>-634187.80030261795</v>
      </c>
      <c r="AR52" s="608">
        <v>0</v>
      </c>
      <c r="AS52" s="608"/>
      <c r="AT52" s="797">
        <v>-86646.165289844619</v>
      </c>
      <c r="AU52" s="608"/>
      <c r="AV52" s="608">
        <v>0</v>
      </c>
      <c r="AW52" s="608"/>
      <c r="AX52" s="607">
        <f t="shared" si="59"/>
        <v>0</v>
      </c>
      <c r="AY52" s="608"/>
      <c r="AZ52" s="607">
        <f t="shared" si="60"/>
        <v>-547541.63501277333</v>
      </c>
      <c r="BA52" s="608"/>
      <c r="BB52" s="607">
        <f t="shared" si="61"/>
        <v>0</v>
      </c>
      <c r="BC52" s="608"/>
      <c r="BD52" s="608">
        <f t="shared" si="62"/>
        <v>-547541.63501277333</v>
      </c>
      <c r="BF52" s="708">
        <f t="shared" si="63"/>
        <v>-760301.31332970446</v>
      </c>
      <c r="BH52" s="592">
        <f t="shared" si="53"/>
        <v>410</v>
      </c>
    </row>
    <row r="53" spans="1:60" ht="14.5">
      <c r="A53" s="592">
        <f t="shared" si="54"/>
        <v>411</v>
      </c>
      <c r="B53" s="624" t="s">
        <v>1445</v>
      </c>
      <c r="F53" s="711" t="s">
        <v>1404</v>
      </c>
      <c r="H53" s="719"/>
      <c r="J53" s="622">
        <v>-7026118.1700553214</v>
      </c>
      <c r="K53" s="608"/>
      <c r="L53" s="622">
        <v>-4215671.4134425009</v>
      </c>
      <c r="M53" s="608"/>
      <c r="N53" s="622">
        <v>-2810446.7566128215</v>
      </c>
      <c r="P53" s="709" t="s">
        <v>1405</v>
      </c>
      <c r="R53" s="608">
        <v>0</v>
      </c>
      <c r="S53" s="608"/>
      <c r="T53" s="608">
        <f t="shared" si="64"/>
        <v>-2810446.7566128215</v>
      </c>
      <c r="U53" s="608"/>
      <c r="V53" s="608">
        <v>0</v>
      </c>
      <c r="W53" s="608"/>
      <c r="X53" s="608">
        <f t="shared" si="65"/>
        <v>-2810446.7566128215</v>
      </c>
      <c r="Y53" s="608"/>
      <c r="Z53" s="609" t="s">
        <v>1406</v>
      </c>
      <c r="AA53" s="608"/>
      <c r="AB53" s="608">
        <v>0</v>
      </c>
      <c r="AC53" s="608"/>
      <c r="AD53" s="622">
        <v>-707092.10231302434</v>
      </c>
      <c r="AE53" s="608"/>
      <c r="AF53" s="608">
        <v>0</v>
      </c>
      <c r="AG53" s="608"/>
      <c r="AH53" s="609" t="s">
        <v>1407</v>
      </c>
      <c r="AI53" s="608"/>
      <c r="AJ53" s="607">
        <f t="shared" si="55"/>
        <v>0</v>
      </c>
      <c r="AK53" s="608"/>
      <c r="AL53" s="607">
        <f t="shared" si="56"/>
        <v>-2103354.654299797</v>
      </c>
      <c r="AM53" s="608"/>
      <c r="AN53" s="607">
        <f t="shared" si="57"/>
        <v>0</v>
      </c>
      <c r="AO53" s="608"/>
      <c r="AP53" s="608">
        <f t="shared" si="58"/>
        <v>-2103354.654299797</v>
      </c>
      <c r="AR53" s="608">
        <v>0</v>
      </c>
      <c r="AS53" s="608"/>
      <c r="AT53" s="797">
        <v>-287371.68225667602</v>
      </c>
      <c r="AU53" s="608"/>
      <c r="AV53" s="608">
        <v>0</v>
      </c>
      <c r="AW53" s="608"/>
      <c r="AX53" s="607">
        <f t="shared" si="59"/>
        <v>0</v>
      </c>
      <c r="AY53" s="608"/>
      <c r="AZ53" s="607">
        <f t="shared" si="60"/>
        <v>-1815982.972043121</v>
      </c>
      <c r="BA53" s="608"/>
      <c r="BB53" s="607">
        <f t="shared" si="61"/>
        <v>0</v>
      </c>
      <c r="BC53" s="608"/>
      <c r="BD53" s="608">
        <f t="shared" si="62"/>
        <v>-1815982.972043121</v>
      </c>
      <c r="BF53" s="708">
        <f t="shared" si="63"/>
        <v>-2521624.2023249161</v>
      </c>
      <c r="BH53" s="592">
        <f t="shared" si="53"/>
        <v>411</v>
      </c>
    </row>
    <row r="54" spans="1:60" ht="14.5">
      <c r="A54" s="592">
        <f t="shared" si="54"/>
        <v>412</v>
      </c>
      <c r="B54" s="624" t="s">
        <v>1446</v>
      </c>
      <c r="F54" s="711" t="s">
        <v>1404</v>
      </c>
      <c r="H54" s="719"/>
      <c r="J54" s="622">
        <v>-21209153.518288884</v>
      </c>
      <c r="K54" s="608"/>
      <c r="L54" s="622">
        <v>-12725492.086459177</v>
      </c>
      <c r="M54" s="608"/>
      <c r="N54" s="622">
        <v>-8483661.4318297058</v>
      </c>
      <c r="P54" s="709" t="s">
        <v>1405</v>
      </c>
      <c r="R54" s="608">
        <v>0</v>
      </c>
      <c r="S54" s="608"/>
      <c r="T54" s="608">
        <f t="shared" si="64"/>
        <v>-8483661.4318297058</v>
      </c>
      <c r="U54" s="608"/>
      <c r="V54" s="608">
        <v>0</v>
      </c>
      <c r="W54" s="608"/>
      <c r="X54" s="608">
        <f t="shared" si="65"/>
        <v>-8483661.4318297058</v>
      </c>
      <c r="Y54" s="608"/>
      <c r="Z54" s="609" t="s">
        <v>1406</v>
      </c>
      <c r="AA54" s="608"/>
      <c r="AB54" s="608">
        <v>0</v>
      </c>
      <c r="AC54" s="608"/>
      <c r="AD54" s="622">
        <v>-2134440.0078136041</v>
      </c>
      <c r="AE54" s="608"/>
      <c r="AF54" s="608">
        <v>0</v>
      </c>
      <c r="AG54" s="608"/>
      <c r="AH54" s="609" t="s">
        <v>1407</v>
      </c>
      <c r="AI54" s="608"/>
      <c r="AJ54" s="607">
        <f t="shared" si="55"/>
        <v>0</v>
      </c>
      <c r="AK54" s="608"/>
      <c r="AL54" s="607">
        <f t="shared" si="56"/>
        <v>-6349221.4240161013</v>
      </c>
      <c r="AM54" s="608"/>
      <c r="AN54" s="607">
        <f t="shared" si="57"/>
        <v>0</v>
      </c>
      <c r="AO54" s="608"/>
      <c r="AP54" s="608">
        <f t="shared" si="58"/>
        <v>-6349221.4240161013</v>
      </c>
      <c r="AR54" s="608">
        <v>0</v>
      </c>
      <c r="AS54" s="608"/>
      <c r="AT54" s="797">
        <v>-867464.95076791348</v>
      </c>
      <c r="AU54" s="608"/>
      <c r="AV54" s="608">
        <v>0</v>
      </c>
      <c r="AW54" s="608"/>
      <c r="AX54" s="607">
        <f t="shared" si="59"/>
        <v>0</v>
      </c>
      <c r="AY54" s="608"/>
      <c r="AZ54" s="607">
        <f t="shared" si="60"/>
        <v>-5481756.4732481875</v>
      </c>
      <c r="BA54" s="608"/>
      <c r="BB54" s="607">
        <f t="shared" si="61"/>
        <v>0</v>
      </c>
      <c r="BC54" s="608"/>
      <c r="BD54" s="608">
        <f t="shared" si="62"/>
        <v>-5481756.4732481875</v>
      </c>
      <c r="BF54" s="708">
        <f t="shared" si="63"/>
        <v>-7611816.854561165</v>
      </c>
      <c r="BH54" s="592">
        <f t="shared" si="53"/>
        <v>412</v>
      </c>
    </row>
    <row r="55" spans="1:60" ht="14.5">
      <c r="A55" s="592">
        <f t="shared" si="54"/>
        <v>413</v>
      </c>
      <c r="B55" s="624" t="s">
        <v>1447</v>
      </c>
      <c r="F55" s="711" t="s">
        <v>1404</v>
      </c>
      <c r="H55" s="719"/>
      <c r="J55" s="622">
        <v>-836924.33457711921</v>
      </c>
      <c r="K55" s="608"/>
      <c r="L55" s="622">
        <v>-662647.5181006192</v>
      </c>
      <c r="M55" s="608"/>
      <c r="N55" s="622">
        <v>-174276.81647649998</v>
      </c>
      <c r="P55" s="709" t="s">
        <v>1405</v>
      </c>
      <c r="R55" s="608">
        <v>0</v>
      </c>
      <c r="S55" s="608"/>
      <c r="T55" s="608">
        <f t="shared" si="64"/>
        <v>-174276.81647649998</v>
      </c>
      <c r="U55" s="608"/>
      <c r="V55" s="608">
        <v>0</v>
      </c>
      <c r="W55" s="608"/>
      <c r="X55" s="608">
        <f t="shared" si="65"/>
        <v>-174276.81647649998</v>
      </c>
      <c r="Y55" s="608"/>
      <c r="Z55" s="609" t="s">
        <v>1406</v>
      </c>
      <c r="AA55" s="608"/>
      <c r="AB55" s="608">
        <v>0</v>
      </c>
      <c r="AC55" s="608"/>
      <c r="AD55" s="622">
        <v>-43847.036154247311</v>
      </c>
      <c r="AE55" s="608"/>
      <c r="AF55" s="608">
        <v>0</v>
      </c>
      <c r="AG55" s="608"/>
      <c r="AH55" s="609" t="s">
        <v>1407</v>
      </c>
      <c r="AI55" s="608"/>
      <c r="AJ55" s="607">
        <f t="shared" si="55"/>
        <v>0</v>
      </c>
      <c r="AK55" s="608"/>
      <c r="AL55" s="607">
        <f t="shared" si="56"/>
        <v>-130429.78032225267</v>
      </c>
      <c r="AM55" s="608"/>
      <c r="AN55" s="607">
        <f t="shared" si="57"/>
        <v>0</v>
      </c>
      <c r="AO55" s="608"/>
      <c r="AP55" s="608">
        <f t="shared" si="58"/>
        <v>-130429.78032225267</v>
      </c>
      <c r="AR55" s="608">
        <v>0</v>
      </c>
      <c r="AS55" s="608"/>
      <c r="AT55" s="797">
        <v>-17820.021607365154</v>
      </c>
      <c r="AU55" s="608"/>
      <c r="AV55" s="608">
        <v>0</v>
      </c>
      <c r="AW55" s="608"/>
      <c r="AX55" s="607">
        <f t="shared" si="59"/>
        <v>0</v>
      </c>
      <c r="AY55" s="608"/>
      <c r="AZ55" s="607">
        <f t="shared" si="60"/>
        <v>-112609.75871488752</v>
      </c>
      <c r="BA55" s="608"/>
      <c r="BB55" s="607">
        <f t="shared" si="61"/>
        <v>0</v>
      </c>
      <c r="BC55" s="608"/>
      <c r="BD55" s="608">
        <f t="shared" si="62"/>
        <v>-112609.75871488752</v>
      </c>
      <c r="BF55" s="708">
        <f t="shared" si="63"/>
        <v>-156366.82577147358</v>
      </c>
      <c r="BH55" s="592">
        <f t="shared" si="53"/>
        <v>413</v>
      </c>
    </row>
    <row r="56" spans="1:60" ht="14.5">
      <c r="A56" s="592">
        <f t="shared" si="54"/>
        <v>414</v>
      </c>
      <c r="B56" s="624" t="s">
        <v>1448</v>
      </c>
      <c r="F56" s="711" t="s">
        <v>1404</v>
      </c>
      <c r="H56" s="719"/>
      <c r="J56" s="622">
        <v>-218308782.94916928</v>
      </c>
      <c r="K56" s="608"/>
      <c r="L56" s="622">
        <v>-129315766.69833358</v>
      </c>
      <c r="M56" s="608"/>
      <c r="N56" s="622">
        <v>-88993016.250835702</v>
      </c>
      <c r="P56" s="709" t="s">
        <v>1405</v>
      </c>
      <c r="R56" s="608">
        <v>0</v>
      </c>
      <c r="S56" s="608"/>
      <c r="T56" s="608">
        <f t="shared" si="64"/>
        <v>-88993016.250835702</v>
      </c>
      <c r="U56" s="608"/>
      <c r="V56" s="608">
        <v>0</v>
      </c>
      <c r="W56" s="608"/>
      <c r="X56" s="608">
        <f t="shared" si="65"/>
        <v>-88993016.250835702</v>
      </c>
      <c r="Y56" s="608"/>
      <c r="Z56" s="609" t="s">
        <v>1406</v>
      </c>
      <c r="AA56" s="608"/>
      <c r="AB56" s="608">
        <v>0</v>
      </c>
      <c r="AC56" s="608"/>
      <c r="AD56" s="622">
        <v>-22390126.695664536</v>
      </c>
      <c r="AE56" s="608"/>
      <c r="AF56" s="608">
        <v>0</v>
      </c>
      <c r="AG56" s="608"/>
      <c r="AH56" s="609" t="s">
        <v>1407</v>
      </c>
      <c r="AI56" s="608"/>
      <c r="AJ56" s="607">
        <f t="shared" si="55"/>
        <v>0</v>
      </c>
      <c r="AK56" s="608"/>
      <c r="AL56" s="607">
        <f t="shared" si="56"/>
        <v>-66602889.555171162</v>
      </c>
      <c r="AM56" s="608"/>
      <c r="AN56" s="607">
        <f t="shared" si="57"/>
        <v>0</v>
      </c>
      <c r="AO56" s="608"/>
      <c r="AP56" s="608">
        <f t="shared" si="58"/>
        <v>-66602889.555171162</v>
      </c>
      <c r="AR56" s="608">
        <v>0</v>
      </c>
      <c r="AS56" s="608"/>
      <c r="AT56" s="797">
        <v>-9099646.7835314889</v>
      </c>
      <c r="AU56" s="608"/>
      <c r="AV56" s="608">
        <v>0</v>
      </c>
      <c r="AW56" s="608"/>
      <c r="AX56" s="607">
        <f t="shared" si="59"/>
        <v>0</v>
      </c>
      <c r="AY56" s="608"/>
      <c r="AZ56" s="607">
        <f t="shared" si="60"/>
        <v>-57503242.771639675</v>
      </c>
      <c r="BA56" s="608"/>
      <c r="BB56" s="607">
        <f t="shared" si="61"/>
        <v>0</v>
      </c>
      <c r="BC56" s="608"/>
      <c r="BD56" s="608">
        <f t="shared" si="62"/>
        <v>-57503242.771639675</v>
      </c>
      <c r="BF56" s="708">
        <f t="shared" si="63"/>
        <v>-79847427.491015479</v>
      </c>
      <c r="BH56" s="592">
        <f t="shared" si="53"/>
        <v>414</v>
      </c>
    </row>
    <row r="57" spans="1:60" ht="14.5">
      <c r="A57" s="592">
        <f t="shared" si="54"/>
        <v>415</v>
      </c>
      <c r="B57" s="624" t="s">
        <v>1449</v>
      </c>
      <c r="F57" s="711" t="s">
        <v>1404</v>
      </c>
      <c r="H57" s="719"/>
      <c r="J57" s="622">
        <v>-14250105.3266</v>
      </c>
      <c r="K57" s="608"/>
      <c r="L57" s="622">
        <v>-8550063.0526500009</v>
      </c>
      <c r="M57" s="608"/>
      <c r="N57" s="622">
        <v>-5700042.2739500003</v>
      </c>
      <c r="P57" s="709" t="s">
        <v>1405</v>
      </c>
      <c r="R57" s="608">
        <v>0</v>
      </c>
      <c r="S57" s="608"/>
      <c r="T57" s="608">
        <f t="shared" si="64"/>
        <v>-5700042.2739500003</v>
      </c>
      <c r="U57" s="608"/>
      <c r="V57" s="608">
        <v>0</v>
      </c>
      <c r="W57" s="608"/>
      <c r="X57" s="608">
        <f t="shared" si="65"/>
        <v>-5700042.2739500003</v>
      </c>
      <c r="Y57" s="608"/>
      <c r="Z57" s="609" t="s">
        <v>1406</v>
      </c>
      <c r="AA57" s="608"/>
      <c r="AB57" s="608">
        <v>0</v>
      </c>
      <c r="AC57" s="608"/>
      <c r="AD57" s="622">
        <v>-1434097.5737316443</v>
      </c>
      <c r="AE57" s="608"/>
      <c r="AF57" s="608">
        <v>0</v>
      </c>
      <c r="AG57" s="608"/>
      <c r="AH57" s="609" t="s">
        <v>1407</v>
      </c>
      <c r="AI57" s="608"/>
      <c r="AJ57" s="607">
        <f t="shared" si="55"/>
        <v>0</v>
      </c>
      <c r="AK57" s="608"/>
      <c r="AL57" s="607">
        <f t="shared" si="56"/>
        <v>-4265944.7002183562</v>
      </c>
      <c r="AM57" s="608"/>
      <c r="AN57" s="607">
        <f t="shared" si="57"/>
        <v>0</v>
      </c>
      <c r="AO57" s="608"/>
      <c r="AP57" s="608">
        <f t="shared" si="58"/>
        <v>-4265944.7002183562</v>
      </c>
      <c r="AR57" s="608">
        <v>0</v>
      </c>
      <c r="AS57" s="608"/>
      <c r="AT57" s="797">
        <v>-582836.42390484258</v>
      </c>
      <c r="AU57" s="608"/>
      <c r="AV57" s="608">
        <v>0</v>
      </c>
      <c r="AW57" s="608"/>
      <c r="AX57" s="607">
        <f t="shared" si="59"/>
        <v>0</v>
      </c>
      <c r="AY57" s="608"/>
      <c r="AZ57" s="607">
        <f t="shared" si="60"/>
        <v>-3683108.2763135135</v>
      </c>
      <c r="BA57" s="608"/>
      <c r="BB57" s="607">
        <f t="shared" si="61"/>
        <v>0</v>
      </c>
      <c r="BC57" s="608"/>
      <c r="BD57" s="608">
        <f t="shared" si="62"/>
        <v>-3683108.2763135135</v>
      </c>
      <c r="BF57" s="708">
        <f t="shared" si="63"/>
        <v>-5114263.2460293947</v>
      </c>
      <c r="BH57" s="592">
        <f t="shared" si="53"/>
        <v>415</v>
      </c>
    </row>
    <row r="58" spans="1:60" ht="14.5">
      <c r="A58" s="592">
        <f t="shared" si="54"/>
        <v>416</v>
      </c>
      <c r="B58" s="624" t="s">
        <v>1450</v>
      </c>
      <c r="F58" s="711" t="s">
        <v>1404</v>
      </c>
      <c r="H58" s="719"/>
      <c r="J58" s="622">
        <v>-29782170.194800001</v>
      </c>
      <c r="K58" s="608"/>
      <c r="L58" s="622">
        <v>-17869302.088218</v>
      </c>
      <c r="M58" s="608"/>
      <c r="N58" s="622">
        <v>-11912868.106582003</v>
      </c>
      <c r="P58" s="709" t="s">
        <v>1405</v>
      </c>
      <c r="R58" s="608">
        <v>0</v>
      </c>
      <c r="S58" s="608"/>
      <c r="T58" s="608">
        <f t="shared" si="64"/>
        <v>-11912868.106582003</v>
      </c>
      <c r="U58" s="608"/>
      <c r="V58" s="608">
        <v>0</v>
      </c>
      <c r="W58" s="608"/>
      <c r="X58" s="608">
        <f t="shared" si="65"/>
        <v>-11912868.106582003</v>
      </c>
      <c r="Y58" s="608"/>
      <c r="Z58" s="609" t="s">
        <v>1406</v>
      </c>
      <c r="AA58" s="608"/>
      <c r="AB58" s="608">
        <v>0</v>
      </c>
      <c r="AC58" s="608"/>
      <c r="AD58" s="622">
        <v>-2997208.5164897144</v>
      </c>
      <c r="AE58" s="608"/>
      <c r="AF58" s="608">
        <v>0</v>
      </c>
      <c r="AG58" s="608"/>
      <c r="AH58" s="609" t="s">
        <v>1407</v>
      </c>
      <c r="AI58" s="608"/>
      <c r="AJ58" s="607">
        <f t="shared" si="55"/>
        <v>0</v>
      </c>
      <c r="AK58" s="608"/>
      <c r="AL58" s="607">
        <f t="shared" si="56"/>
        <v>-8915659.5900922883</v>
      </c>
      <c r="AM58" s="608"/>
      <c r="AN58" s="607">
        <f t="shared" si="57"/>
        <v>0</v>
      </c>
      <c r="AO58" s="608"/>
      <c r="AP58" s="608">
        <f t="shared" si="58"/>
        <v>-8915659.5900922883</v>
      </c>
      <c r="AR58" s="608">
        <v>0</v>
      </c>
      <c r="AS58" s="608"/>
      <c r="AT58" s="797">
        <v>-1218105.6055359377</v>
      </c>
      <c r="AU58" s="608"/>
      <c r="AV58" s="608">
        <v>0</v>
      </c>
      <c r="AW58" s="608"/>
      <c r="AX58" s="607">
        <f t="shared" si="59"/>
        <v>0</v>
      </c>
      <c r="AY58" s="608"/>
      <c r="AZ58" s="607">
        <f t="shared" si="60"/>
        <v>-7697553.9845563509</v>
      </c>
      <c r="BA58" s="608"/>
      <c r="BB58" s="607">
        <f t="shared" si="61"/>
        <v>0</v>
      </c>
      <c r="BC58" s="608"/>
      <c r="BD58" s="608">
        <f t="shared" si="62"/>
        <v>-7697553.9845563509</v>
      </c>
      <c r="BF58" s="708">
        <f t="shared" si="63"/>
        <v>-10688612.572353451</v>
      </c>
      <c r="BH58" s="592">
        <f t="shared" si="53"/>
        <v>416</v>
      </c>
    </row>
    <row r="59" spans="1:60" ht="14.5">
      <c r="A59" s="592">
        <f t="shared" si="54"/>
        <v>417</v>
      </c>
      <c r="B59" s="624" t="s">
        <v>1451</v>
      </c>
      <c r="F59" s="711" t="s">
        <v>1404</v>
      </c>
      <c r="H59" s="719"/>
      <c r="J59" s="622">
        <v>-3287922.8230146882</v>
      </c>
      <c r="K59" s="608"/>
      <c r="L59" s="622">
        <v>-1972753.6622619657</v>
      </c>
      <c r="M59" s="608"/>
      <c r="N59" s="622">
        <v>-1315169.1607527225</v>
      </c>
      <c r="P59" s="709" t="s">
        <v>1405</v>
      </c>
      <c r="R59" s="608">
        <v>0</v>
      </c>
      <c r="S59" s="608"/>
      <c r="T59" s="608">
        <f t="shared" si="64"/>
        <v>-1315169.1607527225</v>
      </c>
      <c r="U59" s="608"/>
      <c r="V59" s="608">
        <v>0</v>
      </c>
      <c r="W59" s="608"/>
      <c r="X59" s="608">
        <f t="shared" si="65"/>
        <v>-1315169.1607527225</v>
      </c>
      <c r="Y59" s="608"/>
      <c r="Z59" s="609" t="s">
        <v>1406</v>
      </c>
      <c r="AA59" s="608"/>
      <c r="AB59" s="608">
        <v>0</v>
      </c>
      <c r="AC59" s="608"/>
      <c r="AD59" s="622">
        <v>-330888.93236841756</v>
      </c>
      <c r="AE59" s="608"/>
      <c r="AF59" s="608">
        <v>0</v>
      </c>
      <c r="AG59" s="608"/>
      <c r="AH59" s="609" t="s">
        <v>1407</v>
      </c>
      <c r="AI59" s="608"/>
      <c r="AJ59" s="607">
        <f t="shared" si="55"/>
        <v>0</v>
      </c>
      <c r="AK59" s="608"/>
      <c r="AL59" s="607">
        <f t="shared" si="56"/>
        <v>-984280.22838430502</v>
      </c>
      <c r="AM59" s="608"/>
      <c r="AN59" s="607">
        <f t="shared" si="57"/>
        <v>0</v>
      </c>
      <c r="AO59" s="608"/>
      <c r="AP59" s="608">
        <f t="shared" si="58"/>
        <v>-984280.22838430502</v>
      </c>
      <c r="AR59" s="608">
        <v>0</v>
      </c>
      <c r="AS59" s="608"/>
      <c r="AT59" s="797">
        <v>-134477.68518949303</v>
      </c>
      <c r="AU59" s="608"/>
      <c r="AV59" s="608">
        <v>0</v>
      </c>
      <c r="AW59" s="608"/>
      <c r="AX59" s="607">
        <f t="shared" si="59"/>
        <v>0</v>
      </c>
      <c r="AY59" s="608"/>
      <c r="AZ59" s="607">
        <f t="shared" si="60"/>
        <v>-849802.54319481202</v>
      </c>
      <c r="BA59" s="608"/>
      <c r="BB59" s="607">
        <f t="shared" si="61"/>
        <v>0</v>
      </c>
      <c r="BC59" s="608"/>
      <c r="BD59" s="608">
        <f t="shared" si="62"/>
        <v>-849802.54319481202</v>
      </c>
      <c r="BF59" s="708">
        <f t="shared" si="63"/>
        <v>-1180012.5293611065</v>
      </c>
      <c r="BH59" s="592">
        <f t="shared" si="53"/>
        <v>417</v>
      </c>
    </row>
    <row r="60" spans="1:60" ht="14.5">
      <c r="A60" s="592">
        <f t="shared" si="54"/>
        <v>418</v>
      </c>
      <c r="B60" s="624" t="s">
        <v>1452</v>
      </c>
      <c r="F60" s="711" t="s">
        <v>1404</v>
      </c>
      <c r="H60" s="719"/>
      <c r="J60" s="622">
        <v>-1300270.1541934409</v>
      </c>
      <c r="K60" s="608"/>
      <c r="L60" s="622">
        <v>-780162.11054283439</v>
      </c>
      <c r="M60" s="608"/>
      <c r="N60" s="622">
        <v>-520108.04365060659</v>
      </c>
      <c r="P60" s="709" t="s">
        <v>1405</v>
      </c>
      <c r="R60" s="608">
        <v>0</v>
      </c>
      <c r="S60" s="608"/>
      <c r="T60" s="608">
        <f t="shared" si="64"/>
        <v>-520108.04365060659</v>
      </c>
      <c r="U60" s="608"/>
      <c r="V60" s="608">
        <v>0</v>
      </c>
      <c r="W60" s="608"/>
      <c r="X60" s="608">
        <f t="shared" si="65"/>
        <v>-520108.04365060659</v>
      </c>
      <c r="Y60" s="608"/>
      <c r="Z60" s="609" t="s">
        <v>1406</v>
      </c>
      <c r="AA60" s="608"/>
      <c r="AB60" s="608">
        <v>0</v>
      </c>
      <c r="AC60" s="608"/>
      <c r="AD60" s="622">
        <v>-130856.16695975227</v>
      </c>
      <c r="AE60" s="608"/>
      <c r="AF60" s="608">
        <v>0</v>
      </c>
      <c r="AG60" s="608"/>
      <c r="AH60" s="609" t="s">
        <v>1407</v>
      </c>
      <c r="AI60" s="608"/>
      <c r="AJ60" s="607">
        <f t="shared" si="55"/>
        <v>0</v>
      </c>
      <c r="AK60" s="608"/>
      <c r="AL60" s="607">
        <f t="shared" si="56"/>
        <v>-389251.87669085432</v>
      </c>
      <c r="AM60" s="608"/>
      <c r="AN60" s="607">
        <f t="shared" si="57"/>
        <v>0</v>
      </c>
      <c r="AO60" s="608"/>
      <c r="AP60" s="608">
        <f t="shared" si="58"/>
        <v>-389251.87669085432</v>
      </c>
      <c r="AR60" s="608">
        <v>0</v>
      </c>
      <c r="AS60" s="608"/>
      <c r="AT60" s="797">
        <v>-53181.695439496376</v>
      </c>
      <c r="AU60" s="608"/>
      <c r="AV60" s="608">
        <v>0</v>
      </c>
      <c r="AW60" s="608"/>
      <c r="AX60" s="607">
        <f t="shared" si="59"/>
        <v>0</v>
      </c>
      <c r="AY60" s="608"/>
      <c r="AZ60" s="607">
        <f t="shared" si="60"/>
        <v>-336070.18125135795</v>
      </c>
      <c r="BA60" s="608"/>
      <c r="BB60" s="607">
        <f t="shared" si="61"/>
        <v>0</v>
      </c>
      <c r="BC60" s="608"/>
      <c r="BD60" s="608">
        <f t="shared" si="62"/>
        <v>-336070.18125135795</v>
      </c>
      <c r="BF60" s="708">
        <f t="shared" si="63"/>
        <v>-466657.84633966419</v>
      </c>
      <c r="BH60" s="592">
        <f t="shared" si="53"/>
        <v>418</v>
      </c>
    </row>
    <row r="61" spans="1:60" ht="14.5">
      <c r="A61" s="592">
        <f t="shared" si="54"/>
        <v>419</v>
      </c>
      <c r="B61" s="624" t="s">
        <v>1453</v>
      </c>
      <c r="F61" s="711" t="s">
        <v>1404</v>
      </c>
      <c r="H61" s="719"/>
      <c r="J61" s="622">
        <v>-9402052.2694172058</v>
      </c>
      <c r="K61" s="608"/>
      <c r="L61" s="622">
        <v>-5641231.3075700132</v>
      </c>
      <c r="M61" s="608"/>
      <c r="N61" s="622">
        <v>-3760820.9618471917</v>
      </c>
      <c r="P61" s="709" t="s">
        <v>1405</v>
      </c>
      <c r="R61" s="608">
        <v>0</v>
      </c>
      <c r="S61" s="608"/>
      <c r="T61" s="608">
        <f t="shared" si="64"/>
        <v>-3760820.9618471917</v>
      </c>
      <c r="U61" s="608"/>
      <c r="V61" s="608">
        <v>0</v>
      </c>
      <c r="W61" s="608"/>
      <c r="X61" s="608">
        <f t="shared" si="65"/>
        <v>-3760820.9618471917</v>
      </c>
      <c r="Y61" s="608"/>
      <c r="Z61" s="609" t="s">
        <v>1406</v>
      </c>
      <c r="AA61" s="608"/>
      <c r="AB61" s="608">
        <v>0</v>
      </c>
      <c r="AC61" s="608"/>
      <c r="AD61" s="622">
        <v>-946200.73982129851</v>
      </c>
      <c r="AE61" s="608"/>
      <c r="AF61" s="608">
        <v>0</v>
      </c>
      <c r="AG61" s="608"/>
      <c r="AH61" s="609" t="s">
        <v>1407</v>
      </c>
      <c r="AI61" s="608"/>
      <c r="AJ61" s="607">
        <f t="shared" si="55"/>
        <v>0</v>
      </c>
      <c r="AK61" s="608"/>
      <c r="AL61" s="607">
        <f t="shared" si="56"/>
        <v>-2814620.2220258932</v>
      </c>
      <c r="AM61" s="608"/>
      <c r="AN61" s="607">
        <f t="shared" si="57"/>
        <v>0</v>
      </c>
      <c r="AO61" s="608"/>
      <c r="AP61" s="608">
        <f t="shared" si="58"/>
        <v>-2814620.2220258932</v>
      </c>
      <c r="AR61" s="608">
        <v>0</v>
      </c>
      <c r="AS61" s="608"/>
      <c r="AT61" s="797">
        <v>-384548.62876489165</v>
      </c>
      <c r="AU61" s="608"/>
      <c r="AV61" s="608">
        <v>0</v>
      </c>
      <c r="AW61" s="608"/>
      <c r="AX61" s="607">
        <f t="shared" si="59"/>
        <v>0</v>
      </c>
      <c r="AY61" s="608"/>
      <c r="AZ61" s="607">
        <f t="shared" si="60"/>
        <v>-2430071.5932610016</v>
      </c>
      <c r="BA61" s="608"/>
      <c r="BB61" s="607">
        <f t="shared" si="61"/>
        <v>0</v>
      </c>
      <c r="BC61" s="608"/>
      <c r="BD61" s="608">
        <f t="shared" si="62"/>
        <v>-2430071.5932610016</v>
      </c>
      <c r="BF61" s="708">
        <f t="shared" si="63"/>
        <v>-3374330.8375050705</v>
      </c>
      <c r="BH61" s="592">
        <f t="shared" si="53"/>
        <v>419</v>
      </c>
    </row>
    <row r="62" spans="1:60" ht="14.5">
      <c r="A62" s="592">
        <f t="shared" si="54"/>
        <v>420</v>
      </c>
      <c r="B62" s="624" t="s">
        <v>1454</v>
      </c>
      <c r="F62" s="711" t="s">
        <v>1404</v>
      </c>
      <c r="H62" s="719"/>
      <c r="J62" s="622">
        <v>-940821.10647100396</v>
      </c>
      <c r="K62" s="608"/>
      <c r="L62" s="622">
        <v>-564492.76789537212</v>
      </c>
      <c r="M62" s="608"/>
      <c r="N62" s="622">
        <v>-376328.33857563185</v>
      </c>
      <c r="P62" s="709" t="s">
        <v>1405</v>
      </c>
      <c r="R62" s="608">
        <v>0</v>
      </c>
      <c r="S62" s="608"/>
      <c r="T62" s="608">
        <f t="shared" si="64"/>
        <v>-376328.33857563185</v>
      </c>
      <c r="U62" s="608"/>
      <c r="V62" s="608">
        <v>0</v>
      </c>
      <c r="W62" s="608"/>
      <c r="X62" s="608">
        <f t="shared" si="65"/>
        <v>-376328.33857563185</v>
      </c>
      <c r="Y62" s="608"/>
      <c r="Z62" s="609" t="s">
        <v>1406</v>
      </c>
      <c r="AA62" s="608"/>
      <c r="AB62" s="608">
        <v>0</v>
      </c>
      <c r="AC62" s="608"/>
      <c r="AD62" s="622">
        <v>-94682.02713938478</v>
      </c>
      <c r="AE62" s="608"/>
      <c r="AF62" s="608">
        <v>0</v>
      </c>
      <c r="AG62" s="608"/>
      <c r="AH62" s="609" t="s">
        <v>1407</v>
      </c>
      <c r="AI62" s="608"/>
      <c r="AJ62" s="607">
        <f t="shared" si="55"/>
        <v>0</v>
      </c>
      <c r="AK62" s="608"/>
      <c r="AL62" s="607">
        <f t="shared" si="56"/>
        <v>-281646.31143624708</v>
      </c>
      <c r="AM62" s="608"/>
      <c r="AN62" s="607">
        <f t="shared" si="57"/>
        <v>0</v>
      </c>
      <c r="AO62" s="608"/>
      <c r="AP62" s="608">
        <f t="shared" si="58"/>
        <v>-281646.31143624708</v>
      </c>
      <c r="AR62" s="608">
        <v>0</v>
      </c>
      <c r="AS62" s="608"/>
      <c r="AT62" s="797">
        <v>-38480.041467740892</v>
      </c>
      <c r="AU62" s="608"/>
      <c r="AV62" s="608">
        <v>0</v>
      </c>
      <c r="AW62" s="608"/>
      <c r="AX62" s="607">
        <f t="shared" si="59"/>
        <v>0</v>
      </c>
      <c r="AY62" s="608"/>
      <c r="AZ62" s="607">
        <f t="shared" si="60"/>
        <v>-243166.26996850618</v>
      </c>
      <c r="BA62" s="608"/>
      <c r="BB62" s="607">
        <f t="shared" si="61"/>
        <v>0</v>
      </c>
      <c r="BC62" s="608"/>
      <c r="BD62" s="608">
        <f t="shared" si="62"/>
        <v>-243166.26996850618</v>
      </c>
      <c r="BF62" s="708">
        <f t="shared" si="63"/>
        <v>-337654.02042938297</v>
      </c>
      <c r="BH62" s="592">
        <f t="shared" si="53"/>
        <v>420</v>
      </c>
    </row>
    <row r="63" spans="1:60" ht="14.5">
      <c r="A63" s="592">
        <f t="shared" si="54"/>
        <v>421</v>
      </c>
      <c r="B63" s="624" t="s">
        <v>1455</v>
      </c>
      <c r="F63" s="711" t="s">
        <v>1404</v>
      </c>
      <c r="H63" s="719"/>
      <c r="J63" s="622">
        <v>-97065.292183923128</v>
      </c>
      <c r="K63" s="608"/>
      <c r="L63" s="622">
        <v>-58239.170803661436</v>
      </c>
      <c r="M63" s="608"/>
      <c r="N63" s="622">
        <v>-38826.121380261699</v>
      </c>
      <c r="P63" s="709" t="s">
        <v>1405</v>
      </c>
      <c r="R63" s="608">
        <v>0</v>
      </c>
      <c r="S63" s="608"/>
      <c r="T63" s="608">
        <f t="shared" si="64"/>
        <v>-38826.121380261699</v>
      </c>
      <c r="U63" s="608"/>
      <c r="V63" s="608">
        <v>0</v>
      </c>
      <c r="W63" s="608"/>
      <c r="X63" s="608">
        <f t="shared" si="65"/>
        <v>-38826.121380261699</v>
      </c>
      <c r="Y63" s="608"/>
      <c r="Z63" s="609" t="s">
        <v>1406</v>
      </c>
      <c r="AA63" s="608"/>
      <c r="AB63" s="608">
        <v>0</v>
      </c>
      <c r="AC63" s="608"/>
      <c r="AD63" s="622">
        <v>-9768.4269331319083</v>
      </c>
      <c r="AE63" s="608"/>
      <c r="AF63" s="608">
        <v>0</v>
      </c>
      <c r="AG63" s="608"/>
      <c r="AH63" s="609" t="s">
        <v>1407</v>
      </c>
      <c r="AI63" s="608"/>
      <c r="AJ63" s="607">
        <f t="shared" si="55"/>
        <v>0</v>
      </c>
      <c r="AK63" s="608"/>
      <c r="AL63" s="607">
        <f t="shared" si="56"/>
        <v>-29057.69444712979</v>
      </c>
      <c r="AM63" s="608"/>
      <c r="AN63" s="607">
        <f t="shared" si="57"/>
        <v>0</v>
      </c>
      <c r="AO63" s="608"/>
      <c r="AP63" s="608">
        <f t="shared" si="58"/>
        <v>-29057.69444712979</v>
      </c>
      <c r="AR63" s="608">
        <v>0</v>
      </c>
      <c r="AS63" s="608"/>
      <c r="AT63" s="797">
        <v>-3970.0192826263919</v>
      </c>
      <c r="AU63" s="608"/>
      <c r="AV63" s="608">
        <v>0</v>
      </c>
      <c r="AW63" s="608"/>
      <c r="AX63" s="607">
        <f t="shared" si="59"/>
        <v>0</v>
      </c>
      <c r="AY63" s="608"/>
      <c r="AZ63" s="607">
        <f t="shared" si="60"/>
        <v>-25087.675164503398</v>
      </c>
      <c r="BA63" s="608"/>
      <c r="BB63" s="607">
        <f t="shared" si="61"/>
        <v>0</v>
      </c>
      <c r="BC63" s="608"/>
      <c r="BD63" s="608">
        <f t="shared" si="62"/>
        <v>-25087.675164503398</v>
      </c>
      <c r="BF63" s="708">
        <f t="shared" si="63"/>
        <v>-34836.058404062678</v>
      </c>
      <c r="BH63" s="592">
        <f t="shared" si="53"/>
        <v>421</v>
      </c>
    </row>
    <row r="64" spans="1:60" ht="14.5">
      <c r="A64" s="592">
        <f t="shared" si="54"/>
        <v>422</v>
      </c>
      <c r="B64" s="624" t="s">
        <v>1456</v>
      </c>
      <c r="F64" s="711" t="s">
        <v>1404</v>
      </c>
      <c r="H64" s="719"/>
      <c r="J64" s="622">
        <v>-261.08771586334626</v>
      </c>
      <c r="K64" s="608"/>
      <c r="L64" s="622">
        <v>-156.63009605576406</v>
      </c>
      <c r="M64" s="608"/>
      <c r="N64" s="622">
        <v>-104.45761980758219</v>
      </c>
      <c r="P64" s="709" t="s">
        <v>1405</v>
      </c>
      <c r="R64" s="608">
        <v>0</v>
      </c>
      <c r="S64" s="608"/>
      <c r="T64" s="608">
        <f t="shared" si="64"/>
        <v>-104.45761980758219</v>
      </c>
      <c r="U64" s="608"/>
      <c r="V64" s="608">
        <v>0</v>
      </c>
      <c r="W64" s="608"/>
      <c r="X64" s="608">
        <f t="shared" si="65"/>
        <v>-104.45761980758219</v>
      </c>
      <c r="Y64" s="608"/>
      <c r="Z64" s="609" t="s">
        <v>1406</v>
      </c>
      <c r="AA64" s="608"/>
      <c r="AB64" s="608">
        <v>0</v>
      </c>
      <c r="AC64" s="608"/>
      <c r="AD64" s="622">
        <v>-26.28093125001098</v>
      </c>
      <c r="AE64" s="608"/>
      <c r="AF64" s="608">
        <v>0</v>
      </c>
      <c r="AG64" s="608"/>
      <c r="AH64" s="609" t="s">
        <v>1407</v>
      </c>
      <c r="AI64" s="608"/>
      <c r="AJ64" s="607">
        <f t="shared" si="55"/>
        <v>0</v>
      </c>
      <c r="AK64" s="608"/>
      <c r="AL64" s="607">
        <f t="shared" si="56"/>
        <v>-78.176688557571211</v>
      </c>
      <c r="AM64" s="608"/>
      <c r="AN64" s="607">
        <f t="shared" si="57"/>
        <v>0</v>
      </c>
      <c r="AO64" s="608"/>
      <c r="AP64" s="608">
        <f t="shared" si="58"/>
        <v>-78.176688557571211</v>
      </c>
      <c r="AR64" s="608">
        <v>0</v>
      </c>
      <c r="AS64" s="608"/>
      <c r="AT64" s="797">
        <v>-10.68092176377373</v>
      </c>
      <c r="AU64" s="608"/>
      <c r="AV64" s="608">
        <v>0</v>
      </c>
      <c r="AW64" s="608"/>
      <c r="AX64" s="607">
        <f t="shared" si="59"/>
        <v>0</v>
      </c>
      <c r="AY64" s="608"/>
      <c r="AZ64" s="607">
        <f t="shared" si="60"/>
        <v>-67.495766793797486</v>
      </c>
      <c r="BA64" s="608"/>
      <c r="BB64" s="607">
        <f t="shared" si="61"/>
        <v>0</v>
      </c>
      <c r="BC64" s="608"/>
      <c r="BD64" s="608">
        <f t="shared" si="62"/>
        <v>-67.495766793797486</v>
      </c>
      <c r="BF64" s="708">
        <f t="shared" si="63"/>
        <v>-93.722772582075024</v>
      </c>
      <c r="BH64" s="592">
        <f t="shared" si="53"/>
        <v>422</v>
      </c>
    </row>
    <row r="65" spans="1:60" ht="14.5">
      <c r="A65" s="592">
        <f t="shared" si="54"/>
        <v>423</v>
      </c>
      <c r="B65" s="624" t="s">
        <v>1457</v>
      </c>
      <c r="F65" s="711" t="s">
        <v>1404</v>
      </c>
      <c r="H65" s="719"/>
      <c r="J65" s="622">
        <v>371735.72841851</v>
      </c>
      <c r="K65" s="608"/>
      <c r="L65" s="622">
        <v>223041.47761133805</v>
      </c>
      <c r="M65" s="608"/>
      <c r="N65" s="622">
        <v>148694.25080717195</v>
      </c>
      <c r="P65" s="709" t="s">
        <v>1405</v>
      </c>
      <c r="R65" s="608">
        <v>0</v>
      </c>
      <c r="S65" s="608"/>
      <c r="T65" s="608">
        <f t="shared" si="64"/>
        <v>148694.25080717195</v>
      </c>
      <c r="U65" s="608"/>
      <c r="V65" s="608">
        <v>0</v>
      </c>
      <c r="W65" s="608"/>
      <c r="X65" s="608">
        <f t="shared" si="65"/>
        <v>148694.25080717195</v>
      </c>
      <c r="Y65" s="608"/>
      <c r="Z65" s="609" t="s">
        <v>1406</v>
      </c>
      <c r="AA65" s="608"/>
      <c r="AB65" s="608">
        <v>0</v>
      </c>
      <c r="AC65" s="608"/>
      <c r="AD65" s="622">
        <v>37410.611020370197</v>
      </c>
      <c r="AE65" s="608"/>
      <c r="AF65" s="608">
        <v>0</v>
      </c>
      <c r="AG65" s="608"/>
      <c r="AH65" s="609" t="s">
        <v>1407</v>
      </c>
      <c r="AI65" s="608"/>
      <c r="AJ65" s="607">
        <f t="shared" si="55"/>
        <v>0</v>
      </c>
      <c r="AK65" s="608"/>
      <c r="AL65" s="607">
        <f t="shared" si="56"/>
        <v>111283.63978680175</v>
      </c>
      <c r="AM65" s="608"/>
      <c r="AN65" s="607">
        <f t="shared" si="57"/>
        <v>0</v>
      </c>
      <c r="AO65" s="608"/>
      <c r="AP65" s="608">
        <f t="shared" si="58"/>
        <v>111283.63978680175</v>
      </c>
      <c r="AR65" s="608">
        <v>0</v>
      </c>
      <c r="AS65" s="608"/>
      <c r="AT65" s="797">
        <v>15204.172395655825</v>
      </c>
      <c r="AU65" s="608"/>
      <c r="AV65" s="608">
        <v>0</v>
      </c>
      <c r="AW65" s="608"/>
      <c r="AX65" s="607">
        <f t="shared" si="59"/>
        <v>0</v>
      </c>
      <c r="AY65" s="608"/>
      <c r="AZ65" s="607">
        <f t="shared" si="60"/>
        <v>96079.467391145925</v>
      </c>
      <c r="BA65" s="608"/>
      <c r="BB65" s="607">
        <f t="shared" si="61"/>
        <v>0</v>
      </c>
      <c r="BC65" s="608"/>
      <c r="BD65" s="608">
        <f t="shared" si="62"/>
        <v>96079.467391145925</v>
      </c>
      <c r="BF65" s="708">
        <f t="shared" si="63"/>
        <v>133413.31612125284</v>
      </c>
      <c r="BH65" s="592">
        <f t="shared" si="53"/>
        <v>423</v>
      </c>
    </row>
    <row r="66" spans="1:60" ht="14.5">
      <c r="A66" s="592">
        <f t="shared" si="54"/>
        <v>424</v>
      </c>
      <c r="B66" s="624" t="s">
        <v>1458</v>
      </c>
      <c r="F66" s="711" t="s">
        <v>1404</v>
      </c>
      <c r="H66" s="719"/>
      <c r="J66" s="622">
        <v>39627.125800000002</v>
      </c>
      <c r="K66" s="608"/>
      <c r="L66" s="622">
        <v>23771.092473216002</v>
      </c>
      <c r="M66" s="608"/>
      <c r="N66" s="622">
        <v>15856.033326784</v>
      </c>
      <c r="P66" s="709" t="s">
        <v>1405</v>
      </c>
      <c r="R66" s="608">
        <v>0</v>
      </c>
      <c r="S66" s="608"/>
      <c r="T66" s="608">
        <f t="shared" si="64"/>
        <v>15856.033326784</v>
      </c>
      <c r="U66" s="608"/>
      <c r="V66" s="608">
        <v>0</v>
      </c>
      <c r="W66" s="608"/>
      <c r="X66" s="608">
        <f t="shared" si="65"/>
        <v>15856.033326784</v>
      </c>
      <c r="Y66" s="608"/>
      <c r="Z66" s="609" t="s">
        <v>1406</v>
      </c>
      <c r="AA66" s="608"/>
      <c r="AB66" s="608">
        <v>0</v>
      </c>
      <c r="AC66" s="608"/>
      <c r="AD66" s="622">
        <v>3989.2860140476378</v>
      </c>
      <c r="AE66" s="608"/>
      <c r="AF66" s="608">
        <v>0</v>
      </c>
      <c r="AG66" s="608"/>
      <c r="AH66" s="609" t="s">
        <v>1407</v>
      </c>
      <c r="AI66" s="608"/>
      <c r="AJ66" s="607">
        <f t="shared" si="55"/>
        <v>0</v>
      </c>
      <c r="AK66" s="608"/>
      <c r="AL66" s="607">
        <f t="shared" si="56"/>
        <v>11866.747312736363</v>
      </c>
      <c r="AM66" s="608"/>
      <c r="AN66" s="607">
        <f t="shared" si="57"/>
        <v>0</v>
      </c>
      <c r="AO66" s="608"/>
      <c r="AP66" s="608">
        <f t="shared" si="58"/>
        <v>11866.747312736363</v>
      </c>
      <c r="AR66" s="608">
        <v>0</v>
      </c>
      <c r="AS66" s="608"/>
      <c r="AT66" s="797">
        <v>1621.2991618910673</v>
      </c>
      <c r="AU66" s="608"/>
      <c r="AV66" s="608">
        <v>0</v>
      </c>
      <c r="AW66" s="608"/>
      <c r="AX66" s="607">
        <f t="shared" si="59"/>
        <v>0</v>
      </c>
      <c r="AY66" s="608"/>
      <c r="AZ66" s="607">
        <f t="shared" si="60"/>
        <v>10245.448150845295</v>
      </c>
      <c r="BA66" s="608"/>
      <c r="BB66" s="607">
        <f t="shared" si="61"/>
        <v>0</v>
      </c>
      <c r="BC66" s="608"/>
      <c r="BD66" s="608">
        <f t="shared" si="62"/>
        <v>10245.448150845295</v>
      </c>
      <c r="BF66" s="708">
        <f t="shared" si="63"/>
        <v>14226.548606769145</v>
      </c>
      <c r="BH66" s="592">
        <f t="shared" si="53"/>
        <v>424</v>
      </c>
    </row>
    <row r="67" spans="1:60" ht="14.5">
      <c r="A67" s="592">
        <f t="shared" si="54"/>
        <v>425</v>
      </c>
      <c r="B67" s="624" t="s">
        <v>1459</v>
      </c>
      <c r="F67" s="711" t="s">
        <v>1404</v>
      </c>
      <c r="H67" s="719"/>
      <c r="J67" s="622">
        <v>4858877.9765368579</v>
      </c>
      <c r="K67" s="608"/>
      <c r="L67" s="622">
        <v>2914698.7054959484</v>
      </c>
      <c r="M67" s="608"/>
      <c r="N67" s="622">
        <v>1944179.2710409102</v>
      </c>
      <c r="P67" s="709" t="s">
        <v>1405</v>
      </c>
      <c r="R67" s="608">
        <v>0</v>
      </c>
      <c r="S67" s="608"/>
      <c r="T67" s="608">
        <f t="shared" si="64"/>
        <v>1944179.2710409102</v>
      </c>
      <c r="U67" s="608"/>
      <c r="V67" s="608">
        <v>0</v>
      </c>
      <c r="W67" s="608"/>
      <c r="X67" s="608">
        <f t="shared" si="65"/>
        <v>1944179.2710409102</v>
      </c>
      <c r="Y67" s="608"/>
      <c r="Z67" s="609" t="s">
        <v>1406</v>
      </c>
      <c r="AA67" s="608"/>
      <c r="AB67" s="608">
        <v>0</v>
      </c>
      <c r="AC67" s="608"/>
      <c r="AD67" s="622">
        <v>489144.22762114124</v>
      </c>
      <c r="AE67" s="608"/>
      <c r="AF67" s="608">
        <v>0</v>
      </c>
      <c r="AG67" s="608"/>
      <c r="AH67" s="609" t="s">
        <v>1407</v>
      </c>
      <c r="AI67" s="608"/>
      <c r="AJ67" s="607">
        <f t="shared" si="55"/>
        <v>0</v>
      </c>
      <c r="AK67" s="608"/>
      <c r="AL67" s="607">
        <f t="shared" si="56"/>
        <v>1455035.043419769</v>
      </c>
      <c r="AM67" s="608"/>
      <c r="AN67" s="607">
        <f t="shared" si="57"/>
        <v>0</v>
      </c>
      <c r="AO67" s="608"/>
      <c r="AP67" s="608">
        <f t="shared" si="58"/>
        <v>1455035.043419769</v>
      </c>
      <c r="AR67" s="608">
        <v>0</v>
      </c>
      <c r="AS67" s="608"/>
      <c r="AT67" s="797">
        <v>198794.7526182413</v>
      </c>
      <c r="AU67" s="608"/>
      <c r="AV67" s="608">
        <v>0</v>
      </c>
      <c r="AW67" s="608"/>
      <c r="AX67" s="607">
        <f t="shared" si="59"/>
        <v>0</v>
      </c>
      <c r="AY67" s="608"/>
      <c r="AZ67" s="607">
        <f t="shared" si="60"/>
        <v>1256240.2908015277</v>
      </c>
      <c r="BA67" s="608"/>
      <c r="BB67" s="607">
        <f t="shared" si="61"/>
        <v>0</v>
      </c>
      <c r="BC67" s="608"/>
      <c r="BD67" s="608">
        <f t="shared" si="62"/>
        <v>1256240.2908015277</v>
      </c>
      <c r="BF67" s="708">
        <f t="shared" si="63"/>
        <v>1744380.8504750689</v>
      </c>
      <c r="BH67" s="592">
        <f t="shared" si="53"/>
        <v>425</v>
      </c>
    </row>
    <row r="68" spans="1:60" ht="14.5">
      <c r="A68" s="592">
        <f t="shared" si="54"/>
        <v>426</v>
      </c>
      <c r="B68" s="624" t="s">
        <v>1460</v>
      </c>
      <c r="F68" s="711" t="s">
        <v>1404</v>
      </c>
      <c r="H68" s="719"/>
      <c r="J68" s="622">
        <v>1290770.57171274</v>
      </c>
      <c r="K68" s="608"/>
      <c r="L68" s="622">
        <v>774295.40260003391</v>
      </c>
      <c r="M68" s="608"/>
      <c r="N68" s="622">
        <v>516475.16911270609</v>
      </c>
      <c r="P68" s="709" t="s">
        <v>1405</v>
      </c>
      <c r="R68" s="608">
        <v>0</v>
      </c>
      <c r="S68" s="608"/>
      <c r="T68" s="608">
        <f t="shared" si="64"/>
        <v>516475.16911270609</v>
      </c>
      <c r="U68" s="608"/>
      <c r="V68" s="608">
        <v>0</v>
      </c>
      <c r="W68" s="608"/>
      <c r="X68" s="608">
        <f t="shared" si="65"/>
        <v>516475.16911270609</v>
      </c>
      <c r="Y68" s="608"/>
      <c r="Z68" s="609" t="s">
        <v>1406</v>
      </c>
      <c r="AA68" s="608"/>
      <c r="AB68" s="608">
        <v>0</v>
      </c>
      <c r="AC68" s="608"/>
      <c r="AD68" s="622">
        <v>129942.15679805847</v>
      </c>
      <c r="AE68" s="608"/>
      <c r="AF68" s="608">
        <v>0</v>
      </c>
      <c r="AG68" s="608"/>
      <c r="AH68" s="609" t="s">
        <v>1407</v>
      </c>
      <c r="AI68" s="608"/>
      <c r="AJ68" s="607">
        <f t="shared" si="55"/>
        <v>0</v>
      </c>
      <c r="AK68" s="608"/>
      <c r="AL68" s="607">
        <f t="shared" si="56"/>
        <v>386533.01231464761</v>
      </c>
      <c r="AM68" s="608"/>
      <c r="AN68" s="607">
        <f t="shared" si="57"/>
        <v>0</v>
      </c>
      <c r="AO68" s="608"/>
      <c r="AP68" s="608">
        <f t="shared" si="58"/>
        <v>386533.01231464761</v>
      </c>
      <c r="AR68" s="608">
        <v>0</v>
      </c>
      <c r="AS68" s="608"/>
      <c r="AT68" s="797">
        <v>52810.229491982012</v>
      </c>
      <c r="AU68" s="608"/>
      <c r="AV68" s="608">
        <v>0</v>
      </c>
      <c r="AW68" s="608"/>
      <c r="AX68" s="607">
        <f t="shared" si="59"/>
        <v>0</v>
      </c>
      <c r="AY68" s="608"/>
      <c r="AZ68" s="607">
        <f t="shared" si="60"/>
        <v>333722.78282266558</v>
      </c>
      <c r="BA68" s="608"/>
      <c r="BB68" s="607">
        <f t="shared" si="61"/>
        <v>0</v>
      </c>
      <c r="BC68" s="608"/>
      <c r="BD68" s="608">
        <f t="shared" si="62"/>
        <v>333722.78282266558</v>
      </c>
      <c r="BF68" s="708">
        <f t="shared" si="63"/>
        <v>463398.31319347478</v>
      </c>
      <c r="BH68" s="592">
        <f t="shared" si="53"/>
        <v>426</v>
      </c>
    </row>
    <row r="69" spans="1:60" ht="14.5">
      <c r="A69" s="592">
        <f t="shared" si="54"/>
        <v>427</v>
      </c>
      <c r="B69" s="624" t="s">
        <v>1461</v>
      </c>
      <c r="F69" s="711" t="s">
        <v>1404</v>
      </c>
      <c r="H69" s="719"/>
      <c r="J69" s="622">
        <v>1949491.3032683765</v>
      </c>
      <c r="K69" s="608"/>
      <c r="L69" s="622">
        <v>1169442.4782304987</v>
      </c>
      <c r="M69" s="608"/>
      <c r="N69" s="622">
        <v>780048.82503787789</v>
      </c>
      <c r="P69" s="709" t="s">
        <v>1405</v>
      </c>
      <c r="R69" s="608">
        <v>0</v>
      </c>
      <c r="S69" s="608"/>
      <c r="T69" s="608">
        <f t="shared" si="64"/>
        <v>780048.82503787789</v>
      </c>
      <c r="U69" s="608"/>
      <c r="V69" s="608">
        <v>0</v>
      </c>
      <c r="W69" s="608"/>
      <c r="X69" s="608">
        <f t="shared" si="65"/>
        <v>780048.82503787789</v>
      </c>
      <c r="Y69" s="608"/>
      <c r="Z69" s="609" t="s">
        <v>1406</v>
      </c>
      <c r="AA69" s="608"/>
      <c r="AB69" s="608">
        <v>0</v>
      </c>
      <c r="AC69" s="608"/>
      <c r="AD69" s="622">
        <v>196255.75980225677</v>
      </c>
      <c r="AE69" s="608"/>
      <c r="AF69" s="608">
        <v>0</v>
      </c>
      <c r="AG69" s="608"/>
      <c r="AH69" s="609" t="s">
        <v>1407</v>
      </c>
      <c r="AI69" s="608"/>
      <c r="AJ69" s="607">
        <f t="shared" si="55"/>
        <v>0</v>
      </c>
      <c r="AK69" s="608"/>
      <c r="AL69" s="607">
        <f t="shared" si="56"/>
        <v>583793.06523562106</v>
      </c>
      <c r="AM69" s="608"/>
      <c r="AN69" s="607">
        <f t="shared" si="57"/>
        <v>0</v>
      </c>
      <c r="AO69" s="608"/>
      <c r="AP69" s="608">
        <f t="shared" si="58"/>
        <v>583793.06523562106</v>
      </c>
      <c r="AR69" s="608">
        <v>0</v>
      </c>
      <c r="AS69" s="608"/>
      <c r="AT69" s="797">
        <v>79760.964183375283</v>
      </c>
      <c r="AU69" s="608"/>
      <c r="AV69" s="608">
        <v>0</v>
      </c>
      <c r="AW69" s="608"/>
      <c r="AX69" s="607">
        <f t="shared" si="59"/>
        <v>0</v>
      </c>
      <c r="AY69" s="608"/>
      <c r="AZ69" s="607">
        <f t="shared" si="60"/>
        <v>504032.10105224577</v>
      </c>
      <c r="BA69" s="608"/>
      <c r="BB69" s="607">
        <f t="shared" si="61"/>
        <v>0</v>
      </c>
      <c r="BC69" s="608"/>
      <c r="BD69" s="608">
        <f t="shared" si="62"/>
        <v>504032.10105224577</v>
      </c>
      <c r="BF69" s="708">
        <f t="shared" si="63"/>
        <v>699885.16650685912</v>
      </c>
      <c r="BH69" s="592">
        <f t="shared" si="53"/>
        <v>427</v>
      </c>
    </row>
    <row r="70" spans="1:60" ht="14.5">
      <c r="A70" s="592">
        <f t="shared" si="54"/>
        <v>428</v>
      </c>
      <c r="B70" s="624" t="s">
        <v>1462</v>
      </c>
      <c r="F70" s="711" t="s">
        <v>1404</v>
      </c>
      <c r="H70" s="719"/>
      <c r="J70" s="622">
        <v>46022.343286475691</v>
      </c>
      <c r="K70" s="608"/>
      <c r="L70" s="622">
        <v>27769.044679727383</v>
      </c>
      <c r="M70" s="608"/>
      <c r="N70" s="622">
        <v>18253.298606748307</v>
      </c>
      <c r="P70" s="709" t="s">
        <v>1405</v>
      </c>
      <c r="R70" s="608">
        <v>0</v>
      </c>
      <c r="S70" s="608"/>
      <c r="T70" s="608">
        <f t="shared" si="64"/>
        <v>18253.298606748307</v>
      </c>
      <c r="U70" s="608"/>
      <c r="V70" s="608">
        <v>0</v>
      </c>
      <c r="W70" s="608"/>
      <c r="X70" s="608">
        <f t="shared" si="65"/>
        <v>18253.298606748307</v>
      </c>
      <c r="Y70" s="608"/>
      <c r="Z70" s="609" t="s">
        <v>1406</v>
      </c>
      <c r="AA70" s="608"/>
      <c r="AB70" s="608">
        <v>0</v>
      </c>
      <c r="AC70" s="608"/>
      <c r="AD70" s="622">
        <v>4592.4240534442351</v>
      </c>
      <c r="AE70" s="608"/>
      <c r="AF70" s="608">
        <v>0</v>
      </c>
      <c r="AG70" s="608"/>
      <c r="AH70" s="609" t="s">
        <v>1407</v>
      </c>
      <c r="AI70" s="608"/>
      <c r="AJ70" s="607">
        <f t="shared" si="55"/>
        <v>0</v>
      </c>
      <c r="AK70" s="608"/>
      <c r="AL70" s="607">
        <f t="shared" si="56"/>
        <v>13660.874553304071</v>
      </c>
      <c r="AM70" s="608"/>
      <c r="AN70" s="607">
        <f t="shared" si="57"/>
        <v>0</v>
      </c>
      <c r="AO70" s="608"/>
      <c r="AP70" s="608">
        <f t="shared" si="58"/>
        <v>13660.874553304071</v>
      </c>
      <c r="AR70" s="608">
        <v>0</v>
      </c>
      <c r="AS70" s="608"/>
      <c r="AT70" s="797">
        <v>1866.4225233985958</v>
      </c>
      <c r="AU70" s="608"/>
      <c r="AV70" s="608">
        <v>0</v>
      </c>
      <c r="AW70" s="608"/>
      <c r="AX70" s="607">
        <f t="shared" si="59"/>
        <v>0</v>
      </c>
      <c r="AY70" s="608"/>
      <c r="AZ70" s="607">
        <f t="shared" si="60"/>
        <v>11794.452029905475</v>
      </c>
      <c r="BA70" s="608"/>
      <c r="BB70" s="607">
        <f t="shared" si="61"/>
        <v>0</v>
      </c>
      <c r="BC70" s="608"/>
      <c r="BD70" s="608">
        <f t="shared" si="62"/>
        <v>11794.452029905475</v>
      </c>
      <c r="BF70" s="708">
        <f t="shared" si="63"/>
        <v>16377.452955028957</v>
      </c>
      <c r="BH70" s="592">
        <f t="shared" si="53"/>
        <v>428</v>
      </c>
    </row>
    <row r="71" spans="1:60" ht="14.5">
      <c r="A71" s="592">
        <f t="shared" si="54"/>
        <v>429</v>
      </c>
      <c r="B71" s="624" t="s">
        <v>1463</v>
      </c>
      <c r="F71" s="711" t="s">
        <v>1404</v>
      </c>
      <c r="H71" s="719"/>
      <c r="J71" s="622">
        <v>10.21516955046464</v>
      </c>
      <c r="K71" s="608"/>
      <c r="L71" s="622">
        <v>6.1868835363948245</v>
      </c>
      <c r="M71" s="608"/>
      <c r="N71" s="622">
        <v>4.028286014069816</v>
      </c>
      <c r="P71" s="709" t="s">
        <v>1405</v>
      </c>
      <c r="R71" s="608">
        <v>0</v>
      </c>
      <c r="S71" s="608"/>
      <c r="T71" s="608">
        <f t="shared" si="64"/>
        <v>4.028286014069816</v>
      </c>
      <c r="U71" s="608"/>
      <c r="V71" s="608">
        <v>0</v>
      </c>
      <c r="W71" s="608"/>
      <c r="X71" s="608">
        <f t="shared" si="65"/>
        <v>4.028286014069816</v>
      </c>
      <c r="Y71" s="608"/>
      <c r="Z71" s="609" t="s">
        <v>1406</v>
      </c>
      <c r="AA71" s="608"/>
      <c r="AB71" s="608">
        <v>0</v>
      </c>
      <c r="AC71" s="608"/>
      <c r="AD71" s="622">
        <v>1.0134933955623704</v>
      </c>
      <c r="AE71" s="608"/>
      <c r="AF71" s="608">
        <v>0</v>
      </c>
      <c r="AG71" s="608"/>
      <c r="AH71" s="609" t="s">
        <v>1407</v>
      </c>
      <c r="AI71" s="608"/>
      <c r="AJ71" s="607">
        <f t="shared" si="55"/>
        <v>0</v>
      </c>
      <c r="AK71" s="608"/>
      <c r="AL71" s="607">
        <f t="shared" si="56"/>
        <v>3.0147926185074456</v>
      </c>
      <c r="AM71" s="608"/>
      <c r="AN71" s="607">
        <f t="shared" si="57"/>
        <v>0</v>
      </c>
      <c r="AO71" s="608"/>
      <c r="AP71" s="608">
        <f t="shared" si="58"/>
        <v>3.0147926185074456</v>
      </c>
      <c r="AR71" s="608">
        <v>0</v>
      </c>
      <c r="AS71" s="608"/>
      <c r="AT71" s="797">
        <v>0.4118972635757927</v>
      </c>
      <c r="AU71" s="608"/>
      <c r="AV71" s="608">
        <v>0</v>
      </c>
      <c r="AW71" s="608"/>
      <c r="AX71" s="607">
        <f t="shared" si="59"/>
        <v>0</v>
      </c>
      <c r="AY71" s="608"/>
      <c r="AZ71" s="607">
        <f t="shared" si="60"/>
        <v>2.6028953549316531</v>
      </c>
      <c r="BA71" s="608"/>
      <c r="BB71" s="607">
        <f t="shared" si="61"/>
        <v>0</v>
      </c>
      <c r="BC71" s="608"/>
      <c r="BD71" s="608">
        <f t="shared" si="62"/>
        <v>2.6028953549316531</v>
      </c>
      <c r="BF71" s="708">
        <f t="shared" si="63"/>
        <v>3.6143091780922858</v>
      </c>
      <c r="BH71" s="592">
        <f t="shared" si="53"/>
        <v>429</v>
      </c>
    </row>
    <row r="72" spans="1:60" ht="14.5">
      <c r="A72" s="592">
        <f t="shared" si="54"/>
        <v>430</v>
      </c>
      <c r="B72" s="624" t="s">
        <v>1464</v>
      </c>
      <c r="F72" s="711" t="s">
        <v>1404</v>
      </c>
      <c r="H72" s="719"/>
      <c r="J72" s="622">
        <v>79588.641600000003</v>
      </c>
      <c r="K72" s="608"/>
      <c r="L72" s="622">
        <v>47742.789596543997</v>
      </c>
      <c r="M72" s="608"/>
      <c r="N72" s="622">
        <v>31845.852003456002</v>
      </c>
      <c r="P72" s="709" t="s">
        <v>1405</v>
      </c>
      <c r="R72" s="608">
        <v>0</v>
      </c>
      <c r="S72" s="608"/>
      <c r="T72" s="608">
        <f t="shared" si="64"/>
        <v>31845.852003456002</v>
      </c>
      <c r="U72" s="608"/>
      <c r="V72" s="608">
        <v>0</v>
      </c>
      <c r="W72" s="608"/>
      <c r="X72" s="608">
        <f t="shared" si="65"/>
        <v>31845.852003456002</v>
      </c>
      <c r="Y72" s="608"/>
      <c r="Z72" s="609" t="s">
        <v>1406</v>
      </c>
      <c r="AA72" s="608"/>
      <c r="AB72" s="608">
        <v>0</v>
      </c>
      <c r="AC72" s="608"/>
      <c r="AD72" s="622">
        <v>8012.2316461216287</v>
      </c>
      <c r="AE72" s="608"/>
      <c r="AF72" s="608">
        <v>0</v>
      </c>
      <c r="AG72" s="608"/>
      <c r="AH72" s="609" t="s">
        <v>1407</v>
      </c>
      <c r="AI72" s="608"/>
      <c r="AJ72" s="607">
        <f t="shared" si="55"/>
        <v>0</v>
      </c>
      <c r="AK72" s="608"/>
      <c r="AL72" s="607">
        <f t="shared" si="56"/>
        <v>23833.620357334374</v>
      </c>
      <c r="AM72" s="608"/>
      <c r="AN72" s="607">
        <f t="shared" si="57"/>
        <v>0</v>
      </c>
      <c r="AO72" s="608"/>
      <c r="AP72" s="608">
        <f t="shared" si="58"/>
        <v>23833.620357334374</v>
      </c>
      <c r="AR72" s="608">
        <v>0</v>
      </c>
      <c r="AS72" s="608"/>
      <c r="AT72" s="797">
        <v>3256.2780424845637</v>
      </c>
      <c r="AU72" s="608"/>
      <c r="AV72" s="608">
        <v>0</v>
      </c>
      <c r="AW72" s="608"/>
      <c r="AX72" s="607">
        <f t="shared" si="59"/>
        <v>0</v>
      </c>
      <c r="AY72" s="608"/>
      <c r="AZ72" s="607">
        <f t="shared" si="60"/>
        <v>20577.342314849811</v>
      </c>
      <c r="BA72" s="608"/>
      <c r="BB72" s="607">
        <f t="shared" si="61"/>
        <v>0</v>
      </c>
      <c r="BC72" s="608"/>
      <c r="BD72" s="608">
        <f t="shared" si="62"/>
        <v>20577.342314849811</v>
      </c>
      <c r="BF72" s="708">
        <f t="shared" si="63"/>
        <v>28573.133779041731</v>
      </c>
      <c r="BH72" s="592">
        <f t="shared" si="53"/>
        <v>430</v>
      </c>
    </row>
    <row r="73" spans="1:60" ht="14.5">
      <c r="A73" s="592">
        <f t="shared" si="54"/>
        <v>431</v>
      </c>
      <c r="B73" s="624" t="s">
        <v>1465</v>
      </c>
      <c r="F73" s="711" t="s">
        <v>1404</v>
      </c>
      <c r="H73" s="719"/>
      <c r="J73" s="622">
        <v>138316.12419999999</v>
      </c>
      <c r="K73" s="608"/>
      <c r="L73" s="622">
        <v>82971.771394048003</v>
      </c>
      <c r="M73" s="608"/>
      <c r="N73" s="622">
        <v>55344.352805952003</v>
      </c>
      <c r="P73" s="709" t="s">
        <v>1405</v>
      </c>
      <c r="R73" s="608">
        <v>0</v>
      </c>
      <c r="S73" s="608"/>
      <c r="T73" s="608">
        <f t="shared" si="64"/>
        <v>55344.352805952003</v>
      </c>
      <c r="U73" s="608"/>
      <c r="V73" s="608">
        <v>0</v>
      </c>
      <c r="W73" s="608"/>
      <c r="X73" s="608">
        <f t="shared" si="65"/>
        <v>55344.352805952003</v>
      </c>
      <c r="Y73" s="608"/>
      <c r="Z73" s="609" t="s">
        <v>1406</v>
      </c>
      <c r="AA73" s="608"/>
      <c r="AB73" s="608">
        <v>0</v>
      </c>
      <c r="AC73" s="608"/>
      <c r="AD73" s="622">
        <v>13924.318147865743</v>
      </c>
      <c r="AE73" s="608"/>
      <c r="AF73" s="608">
        <v>0</v>
      </c>
      <c r="AG73" s="608"/>
      <c r="AH73" s="609" t="s">
        <v>1407</v>
      </c>
      <c r="AI73" s="608"/>
      <c r="AJ73" s="607">
        <f t="shared" si="55"/>
        <v>0</v>
      </c>
      <c r="AK73" s="608"/>
      <c r="AL73" s="607">
        <f t="shared" si="56"/>
        <v>41420.034658086261</v>
      </c>
      <c r="AM73" s="608"/>
      <c r="AN73" s="607">
        <f t="shared" si="57"/>
        <v>0</v>
      </c>
      <c r="AO73" s="608"/>
      <c r="AP73" s="608">
        <f t="shared" si="58"/>
        <v>41420.034658086261</v>
      </c>
      <c r="AR73" s="608">
        <v>0</v>
      </c>
      <c r="AS73" s="608"/>
      <c r="AT73" s="797">
        <v>5659.029025129641</v>
      </c>
      <c r="AU73" s="608"/>
      <c r="AV73" s="608">
        <v>0</v>
      </c>
      <c r="AW73" s="608"/>
      <c r="AX73" s="607">
        <f t="shared" si="59"/>
        <v>0</v>
      </c>
      <c r="AY73" s="608"/>
      <c r="AZ73" s="607">
        <f t="shared" si="60"/>
        <v>35761.005632956621</v>
      </c>
      <c r="BA73" s="608"/>
      <c r="BB73" s="607">
        <f t="shared" si="61"/>
        <v>0</v>
      </c>
      <c r="BC73" s="608"/>
      <c r="BD73" s="608">
        <f t="shared" si="62"/>
        <v>35761.005632956621</v>
      </c>
      <c r="BF73" s="708">
        <f t="shared" si="63"/>
        <v>49656.752674330593</v>
      </c>
      <c r="BH73" s="592">
        <f t="shared" si="53"/>
        <v>431</v>
      </c>
    </row>
    <row r="74" spans="1:60" ht="14.5">
      <c r="A74" s="592">
        <f t="shared" si="54"/>
        <v>432</v>
      </c>
      <c r="B74" s="624" t="s">
        <v>1466</v>
      </c>
      <c r="F74" s="711" t="s">
        <v>1404</v>
      </c>
      <c r="H74" s="719"/>
      <c r="J74" s="622">
        <v>42824.849600000001</v>
      </c>
      <c r="K74" s="608"/>
      <c r="L74" s="622">
        <v>25839.92877952</v>
      </c>
      <c r="M74" s="608"/>
      <c r="N74" s="622">
        <v>16984.920820480002</v>
      </c>
      <c r="P74" s="709" t="s">
        <v>1405</v>
      </c>
      <c r="R74" s="608">
        <v>0</v>
      </c>
      <c r="S74" s="608"/>
      <c r="T74" s="608">
        <f t="shared" si="64"/>
        <v>16984.920820480002</v>
      </c>
      <c r="U74" s="608"/>
      <c r="V74" s="608">
        <v>0</v>
      </c>
      <c r="W74" s="608"/>
      <c r="X74" s="608">
        <f t="shared" si="65"/>
        <v>16984.920820480002</v>
      </c>
      <c r="Y74" s="608"/>
      <c r="Z74" s="609" t="s">
        <v>1406</v>
      </c>
      <c r="AA74" s="608"/>
      <c r="AB74" s="608">
        <v>0</v>
      </c>
      <c r="AC74" s="608"/>
      <c r="AD74" s="622">
        <v>4273.307559488484</v>
      </c>
      <c r="AE74" s="608"/>
      <c r="AF74" s="608">
        <v>0</v>
      </c>
      <c r="AG74" s="608"/>
      <c r="AH74" s="609" t="s">
        <v>1407</v>
      </c>
      <c r="AI74" s="608"/>
      <c r="AJ74" s="607">
        <f t="shared" si="55"/>
        <v>0</v>
      </c>
      <c r="AK74" s="608"/>
      <c r="AL74" s="607">
        <f t="shared" si="56"/>
        <v>12711.613260991518</v>
      </c>
      <c r="AM74" s="608"/>
      <c r="AN74" s="607">
        <f t="shared" si="57"/>
        <v>0</v>
      </c>
      <c r="AO74" s="608"/>
      <c r="AP74" s="608">
        <f t="shared" si="58"/>
        <v>12711.613260991518</v>
      </c>
      <c r="AR74" s="608">
        <v>0</v>
      </c>
      <c r="AS74" s="608"/>
      <c r="AT74" s="797">
        <v>1736.729314545134</v>
      </c>
      <c r="AU74" s="608"/>
      <c r="AV74" s="608">
        <v>0</v>
      </c>
      <c r="AW74" s="608"/>
      <c r="AX74" s="607">
        <f t="shared" si="59"/>
        <v>0</v>
      </c>
      <c r="AY74" s="608"/>
      <c r="AZ74" s="607">
        <f t="shared" si="60"/>
        <v>10974.883946446385</v>
      </c>
      <c r="BA74" s="608"/>
      <c r="BB74" s="607">
        <f t="shared" si="61"/>
        <v>0</v>
      </c>
      <c r="BC74" s="608"/>
      <c r="BD74" s="608">
        <f t="shared" si="62"/>
        <v>10974.883946446385</v>
      </c>
      <c r="BF74" s="708">
        <f t="shared" si="63"/>
        <v>15239.423168120573</v>
      </c>
      <c r="BH74" s="592">
        <f t="shared" ref="BH74:BH99" si="66">A74</f>
        <v>432</v>
      </c>
    </row>
    <row r="75" spans="1:60" ht="14.5">
      <c r="A75" s="592">
        <f t="shared" si="54"/>
        <v>433</v>
      </c>
      <c r="B75" s="624" t="s">
        <v>1467</v>
      </c>
      <c r="F75" s="711" t="s">
        <v>1404</v>
      </c>
      <c r="H75" s="719"/>
      <c r="J75" s="622">
        <v>-176949.63399999999</v>
      </c>
      <c r="K75" s="608"/>
      <c r="L75" s="622">
        <v>-106152.043895808</v>
      </c>
      <c r="M75" s="608"/>
      <c r="N75" s="622">
        <v>-70797.590104192001</v>
      </c>
      <c r="P75" s="709" t="s">
        <v>1405</v>
      </c>
      <c r="R75" s="608">
        <v>0</v>
      </c>
      <c r="S75" s="608"/>
      <c r="T75" s="608">
        <f t="shared" si="64"/>
        <v>-70797.590104192001</v>
      </c>
      <c r="U75" s="608"/>
      <c r="V75" s="608">
        <v>0</v>
      </c>
      <c r="W75" s="608"/>
      <c r="X75" s="608">
        <f t="shared" si="65"/>
        <v>-70797.590104192001</v>
      </c>
      <c r="Y75" s="608"/>
      <c r="Z75" s="609" t="s">
        <v>1406</v>
      </c>
      <c r="AA75" s="608"/>
      <c r="AB75" s="608">
        <v>0</v>
      </c>
      <c r="AC75" s="608"/>
      <c r="AD75" s="622">
        <v>-17812.263017500532</v>
      </c>
      <c r="AE75" s="608"/>
      <c r="AF75" s="608">
        <v>0</v>
      </c>
      <c r="AG75" s="608"/>
      <c r="AH75" s="609" t="s">
        <v>1407</v>
      </c>
      <c r="AI75" s="608"/>
      <c r="AJ75" s="607">
        <f t="shared" si="55"/>
        <v>0</v>
      </c>
      <c r="AK75" s="608"/>
      <c r="AL75" s="607">
        <f t="shared" si="56"/>
        <v>-52985.327086691468</v>
      </c>
      <c r="AM75" s="608"/>
      <c r="AN75" s="607">
        <f t="shared" si="57"/>
        <v>0</v>
      </c>
      <c r="AO75" s="608"/>
      <c r="AP75" s="608">
        <f t="shared" si="58"/>
        <v>-52985.327086691468</v>
      </c>
      <c r="AR75" s="608">
        <v>0</v>
      </c>
      <c r="AS75" s="608"/>
      <c r="AT75" s="797">
        <v>-7239.1417912789502</v>
      </c>
      <c r="AU75" s="608"/>
      <c r="AV75" s="608">
        <v>0</v>
      </c>
      <c r="AW75" s="608"/>
      <c r="AX75" s="607">
        <f t="shared" ref="AX75:AX99" si="67">+AJ75-AR75</f>
        <v>0</v>
      </c>
      <c r="AY75" s="608"/>
      <c r="AZ75" s="607">
        <f t="shared" ref="AZ75:AZ99" si="68">+AL75-AT75</f>
        <v>-45746.185295412521</v>
      </c>
      <c r="BA75" s="608"/>
      <c r="BB75" s="607">
        <f t="shared" ref="BB75:BB99" si="69">+AN75-AV75</f>
        <v>0</v>
      </c>
      <c r="BC75" s="608"/>
      <c r="BD75" s="608">
        <f t="shared" si="62"/>
        <v>-45746.185295412521</v>
      </c>
      <c r="BF75" s="708">
        <f t="shared" si="63"/>
        <v>-63521.899588722175</v>
      </c>
      <c r="BH75" s="592">
        <f t="shared" si="66"/>
        <v>433</v>
      </c>
    </row>
    <row r="76" spans="1:60" ht="14.5">
      <c r="A76" s="592">
        <f t="shared" si="54"/>
        <v>434</v>
      </c>
      <c r="B76" s="624" t="s">
        <v>1468</v>
      </c>
      <c r="F76" s="711" t="s">
        <v>1404</v>
      </c>
      <c r="H76" s="719"/>
      <c r="J76" s="622">
        <v>19042.077400000002</v>
      </c>
      <c r="K76" s="608"/>
      <c r="L76" s="622">
        <v>11423.045504128</v>
      </c>
      <c r="M76" s="608"/>
      <c r="N76" s="622">
        <v>7619.0318958720009</v>
      </c>
      <c r="P76" s="709" t="s">
        <v>1405</v>
      </c>
      <c r="R76" s="608">
        <v>0</v>
      </c>
      <c r="S76" s="608"/>
      <c r="T76" s="608">
        <f t="shared" si="64"/>
        <v>7619.0318958720009</v>
      </c>
      <c r="U76" s="608"/>
      <c r="V76" s="608">
        <v>0</v>
      </c>
      <c r="W76" s="608"/>
      <c r="X76" s="608">
        <f t="shared" si="65"/>
        <v>7619.0318958720009</v>
      </c>
      <c r="Y76" s="608"/>
      <c r="Z76" s="609" t="s">
        <v>1406</v>
      </c>
      <c r="AA76" s="608"/>
      <c r="AB76" s="608">
        <v>0</v>
      </c>
      <c r="AC76" s="608"/>
      <c r="AD76" s="622">
        <v>1916.90423174393</v>
      </c>
      <c r="AE76" s="608"/>
      <c r="AF76" s="608">
        <v>0</v>
      </c>
      <c r="AG76" s="608"/>
      <c r="AH76" s="609" t="s">
        <v>1407</v>
      </c>
      <c r="AI76" s="608"/>
      <c r="AJ76" s="607">
        <f t="shared" si="55"/>
        <v>0</v>
      </c>
      <c r="AK76" s="608"/>
      <c r="AL76" s="607">
        <f t="shared" si="56"/>
        <v>5702.127664128071</v>
      </c>
      <c r="AM76" s="608"/>
      <c r="AN76" s="607">
        <f t="shared" si="57"/>
        <v>0</v>
      </c>
      <c r="AO76" s="608"/>
      <c r="AP76" s="608">
        <f t="shared" si="58"/>
        <v>5702.127664128071</v>
      </c>
      <c r="AR76" s="608">
        <v>0</v>
      </c>
      <c r="AS76" s="608"/>
      <c r="AT76" s="797">
        <v>779.05550351816976</v>
      </c>
      <c r="AU76" s="608"/>
      <c r="AV76" s="608">
        <v>0</v>
      </c>
      <c r="AW76" s="608"/>
      <c r="AX76" s="607">
        <f t="shared" si="67"/>
        <v>0</v>
      </c>
      <c r="AY76" s="608"/>
      <c r="AZ76" s="607">
        <f t="shared" si="68"/>
        <v>4923.0721606099014</v>
      </c>
      <c r="BA76" s="608"/>
      <c r="BB76" s="607">
        <f t="shared" si="69"/>
        <v>0</v>
      </c>
      <c r="BC76" s="608"/>
      <c r="BD76" s="608">
        <f t="shared" si="62"/>
        <v>4923.0721606099014</v>
      </c>
      <c r="BF76" s="708">
        <f t="shared" si="63"/>
        <v>6836.0431243576477</v>
      </c>
      <c r="BH76" s="592">
        <f t="shared" si="66"/>
        <v>434</v>
      </c>
    </row>
    <row r="77" spans="1:60" ht="14.5">
      <c r="A77" s="592">
        <f t="shared" si="54"/>
        <v>435</v>
      </c>
      <c r="B77" s="624" t="s">
        <v>1469</v>
      </c>
      <c r="F77" s="711" t="s">
        <v>1404</v>
      </c>
      <c r="H77" s="719"/>
      <c r="J77" s="622">
        <v>186182.91084647487</v>
      </c>
      <c r="K77" s="608"/>
      <c r="L77" s="622">
        <v>112339.01732682377</v>
      </c>
      <c r="M77" s="608"/>
      <c r="N77" s="622">
        <v>73843.893519651116</v>
      </c>
      <c r="P77" s="709" t="s">
        <v>1405</v>
      </c>
      <c r="R77" s="608">
        <v>0</v>
      </c>
      <c r="S77" s="608"/>
      <c r="T77" s="608">
        <f t="shared" si="64"/>
        <v>73843.893519651116</v>
      </c>
      <c r="U77" s="608"/>
      <c r="V77" s="608">
        <v>0</v>
      </c>
      <c r="W77" s="608"/>
      <c r="X77" s="608">
        <f t="shared" si="65"/>
        <v>73843.893519651116</v>
      </c>
      <c r="Y77" s="608"/>
      <c r="Z77" s="609" t="s">
        <v>1406</v>
      </c>
      <c r="AA77" s="608"/>
      <c r="AB77" s="608">
        <v>0</v>
      </c>
      <c r="AC77" s="608"/>
      <c r="AD77" s="622">
        <v>18578.695287121744</v>
      </c>
      <c r="AE77" s="608"/>
      <c r="AF77" s="608">
        <v>0</v>
      </c>
      <c r="AG77" s="608"/>
      <c r="AH77" s="609" t="s">
        <v>1407</v>
      </c>
      <c r="AI77" s="608"/>
      <c r="AJ77" s="607">
        <f t="shared" si="55"/>
        <v>0</v>
      </c>
      <c r="AK77" s="608"/>
      <c r="AL77" s="607">
        <f t="shared" si="56"/>
        <v>55265.198232529372</v>
      </c>
      <c r="AM77" s="608"/>
      <c r="AN77" s="607">
        <f t="shared" si="57"/>
        <v>0</v>
      </c>
      <c r="AO77" s="608"/>
      <c r="AP77" s="608">
        <f t="shared" si="58"/>
        <v>55265.198232529372</v>
      </c>
      <c r="AR77" s="608">
        <v>0</v>
      </c>
      <c r="AS77" s="608"/>
      <c r="AT77" s="797">
        <v>7550.6301107445033</v>
      </c>
      <c r="AU77" s="608"/>
      <c r="AV77" s="608">
        <v>0</v>
      </c>
      <c r="AW77" s="608"/>
      <c r="AX77" s="607">
        <f t="shared" si="67"/>
        <v>0</v>
      </c>
      <c r="AY77" s="608"/>
      <c r="AZ77" s="607">
        <f t="shared" si="68"/>
        <v>47714.568121784869</v>
      </c>
      <c r="BA77" s="608"/>
      <c r="BB77" s="607">
        <f t="shared" si="69"/>
        <v>0</v>
      </c>
      <c r="BC77" s="608"/>
      <c r="BD77" s="608">
        <f t="shared" si="62"/>
        <v>47714.568121784869</v>
      </c>
      <c r="BF77" s="708">
        <f t="shared" si="63"/>
        <v>66255.142053455696</v>
      </c>
      <c r="BH77" s="592">
        <f t="shared" si="66"/>
        <v>435</v>
      </c>
    </row>
    <row r="78" spans="1:60" ht="14.5">
      <c r="A78" s="592">
        <f t="shared" si="54"/>
        <v>436</v>
      </c>
      <c r="B78" s="624" t="s">
        <v>1470</v>
      </c>
      <c r="F78" s="711" t="s">
        <v>1404</v>
      </c>
      <c r="H78" s="719"/>
      <c r="J78" s="622">
        <v>-44233.094088579019</v>
      </c>
      <c r="K78" s="608"/>
      <c r="L78" s="622">
        <v>-26689.47596975568</v>
      </c>
      <c r="M78" s="608"/>
      <c r="N78" s="622">
        <v>-17543.618118823335</v>
      </c>
      <c r="P78" s="709" t="s">
        <v>1405</v>
      </c>
      <c r="R78" s="608">
        <v>0</v>
      </c>
      <c r="S78" s="608"/>
      <c r="T78" s="608">
        <f t="shared" si="64"/>
        <v>-17543.618118823335</v>
      </c>
      <c r="U78" s="608"/>
      <c r="V78" s="608">
        <v>0</v>
      </c>
      <c r="W78" s="608"/>
      <c r="X78" s="608">
        <f t="shared" si="65"/>
        <v>-17543.618118823335</v>
      </c>
      <c r="Y78" s="608"/>
      <c r="Z78" s="609" t="s">
        <v>1406</v>
      </c>
      <c r="AA78" s="608"/>
      <c r="AB78" s="608">
        <v>0</v>
      </c>
      <c r="AC78" s="608"/>
      <c r="AD78" s="622">
        <v>-4413.8725590966997</v>
      </c>
      <c r="AE78" s="608"/>
      <c r="AF78" s="608">
        <v>0</v>
      </c>
      <c r="AG78" s="608"/>
      <c r="AH78" s="609" t="s">
        <v>1407</v>
      </c>
      <c r="AI78" s="608"/>
      <c r="AJ78" s="607">
        <f t="shared" si="55"/>
        <v>0</v>
      </c>
      <c r="AK78" s="608"/>
      <c r="AL78" s="607">
        <f t="shared" si="56"/>
        <v>-13129.745559726634</v>
      </c>
      <c r="AM78" s="608"/>
      <c r="AN78" s="607">
        <f t="shared" si="57"/>
        <v>0</v>
      </c>
      <c r="AO78" s="608"/>
      <c r="AP78" s="608">
        <f t="shared" si="58"/>
        <v>-13129.745559726634</v>
      </c>
      <c r="AR78" s="608">
        <v>0</v>
      </c>
      <c r="AS78" s="608"/>
      <c r="AT78" s="797">
        <v>-1793.8568093533561</v>
      </c>
      <c r="AU78" s="608"/>
      <c r="AV78" s="608">
        <v>0</v>
      </c>
      <c r="AW78" s="608"/>
      <c r="AX78" s="607">
        <f t="shared" si="67"/>
        <v>0</v>
      </c>
      <c r="AY78" s="608"/>
      <c r="AZ78" s="607">
        <f t="shared" si="68"/>
        <v>-11335.888750373279</v>
      </c>
      <c r="BA78" s="608"/>
      <c r="BB78" s="607">
        <f t="shared" si="69"/>
        <v>0</v>
      </c>
      <c r="BC78" s="608"/>
      <c r="BD78" s="608">
        <f t="shared" si="62"/>
        <v>-11335.888750373279</v>
      </c>
      <c r="BF78" s="708">
        <f t="shared" si="63"/>
        <v>-15740.704548371312</v>
      </c>
      <c r="BH78" s="592">
        <f t="shared" si="66"/>
        <v>436</v>
      </c>
    </row>
    <row r="79" spans="1:60" ht="14.5">
      <c r="A79" s="592">
        <f t="shared" si="54"/>
        <v>437</v>
      </c>
      <c r="B79" s="624" t="s">
        <v>1471</v>
      </c>
      <c r="F79" s="711" t="s">
        <v>1404</v>
      </c>
      <c r="H79" s="719"/>
      <c r="J79" s="622">
        <v>617494.83598150895</v>
      </c>
      <c r="K79" s="608"/>
      <c r="L79" s="622">
        <v>372585.0544452038</v>
      </c>
      <c r="M79" s="608"/>
      <c r="N79" s="622">
        <v>244909.78153630506</v>
      </c>
      <c r="P79" s="709" t="s">
        <v>1405</v>
      </c>
      <c r="R79" s="608">
        <v>0</v>
      </c>
      <c r="S79" s="608"/>
      <c r="T79" s="608">
        <f t="shared" si="64"/>
        <v>244909.78153630506</v>
      </c>
      <c r="U79" s="608"/>
      <c r="V79" s="608">
        <v>0</v>
      </c>
      <c r="W79" s="608"/>
      <c r="X79" s="608">
        <f t="shared" si="65"/>
        <v>244909.78153630506</v>
      </c>
      <c r="Y79" s="608"/>
      <c r="Z79" s="609" t="s">
        <v>1406</v>
      </c>
      <c r="AA79" s="608"/>
      <c r="AB79" s="608">
        <v>0</v>
      </c>
      <c r="AC79" s="608"/>
      <c r="AD79" s="622">
        <v>61617.880465467417</v>
      </c>
      <c r="AE79" s="608"/>
      <c r="AF79" s="608">
        <v>0</v>
      </c>
      <c r="AG79" s="608"/>
      <c r="AH79" s="609" t="s">
        <v>1407</v>
      </c>
      <c r="AI79" s="608"/>
      <c r="AJ79" s="607">
        <f t="shared" si="55"/>
        <v>0</v>
      </c>
      <c r="AK79" s="608"/>
      <c r="AL79" s="607">
        <f t="shared" si="56"/>
        <v>183291.90107083763</v>
      </c>
      <c r="AM79" s="608"/>
      <c r="AN79" s="607">
        <f t="shared" si="57"/>
        <v>0</v>
      </c>
      <c r="AO79" s="608"/>
      <c r="AP79" s="608">
        <f t="shared" si="58"/>
        <v>183291.90107083763</v>
      </c>
      <c r="AR79" s="608">
        <v>0</v>
      </c>
      <c r="AS79" s="608"/>
      <c r="AT79" s="797">
        <v>25042.330282757554</v>
      </c>
      <c r="AU79" s="608"/>
      <c r="AV79" s="608">
        <v>0</v>
      </c>
      <c r="AW79" s="608"/>
      <c r="AX79" s="607">
        <f t="shared" si="67"/>
        <v>0</v>
      </c>
      <c r="AY79" s="608"/>
      <c r="AZ79" s="607">
        <f t="shared" si="68"/>
        <v>158249.57078808008</v>
      </c>
      <c r="BA79" s="608"/>
      <c r="BB79" s="607">
        <f t="shared" si="69"/>
        <v>0</v>
      </c>
      <c r="BC79" s="608"/>
      <c r="BD79" s="608">
        <f t="shared" si="62"/>
        <v>158249.57078808008</v>
      </c>
      <c r="BF79" s="708">
        <f t="shared" si="63"/>
        <v>219741.01841813818</v>
      </c>
      <c r="BH79" s="592">
        <f t="shared" si="66"/>
        <v>437</v>
      </c>
    </row>
    <row r="80" spans="1:60" ht="14.5">
      <c r="A80" s="592">
        <f t="shared" si="54"/>
        <v>438</v>
      </c>
      <c r="B80" s="624" t="s">
        <v>1472</v>
      </c>
      <c r="F80" s="711" t="s">
        <v>1404</v>
      </c>
      <c r="H80" s="719"/>
      <c r="J80" s="622">
        <v>1864201.3516246921</v>
      </c>
      <c r="K80" s="608"/>
      <c r="L80" s="622">
        <v>1124691.1101175349</v>
      </c>
      <c r="M80" s="608"/>
      <c r="N80" s="622">
        <v>739510.24150715722</v>
      </c>
      <c r="P80" s="709" t="s">
        <v>1405</v>
      </c>
      <c r="R80" s="608">
        <v>0</v>
      </c>
      <c r="S80" s="608"/>
      <c r="T80" s="608">
        <f t="shared" si="64"/>
        <v>739510.24150715722</v>
      </c>
      <c r="U80" s="608"/>
      <c r="V80" s="608">
        <v>0</v>
      </c>
      <c r="W80" s="608"/>
      <c r="X80" s="608">
        <f t="shared" si="65"/>
        <v>739510.24150715722</v>
      </c>
      <c r="Y80" s="608"/>
      <c r="Z80" s="609" t="s">
        <v>1406</v>
      </c>
      <c r="AA80" s="608"/>
      <c r="AB80" s="608">
        <v>0</v>
      </c>
      <c r="AC80" s="608"/>
      <c r="AD80" s="622">
        <v>186056.48732499551</v>
      </c>
      <c r="AE80" s="608"/>
      <c r="AF80" s="608">
        <v>0</v>
      </c>
      <c r="AG80" s="608"/>
      <c r="AH80" s="609" t="s">
        <v>1407</v>
      </c>
      <c r="AI80" s="608"/>
      <c r="AJ80" s="607">
        <f t="shared" si="55"/>
        <v>0</v>
      </c>
      <c r="AK80" s="608"/>
      <c r="AL80" s="607">
        <f t="shared" si="56"/>
        <v>553453.75418216176</v>
      </c>
      <c r="AM80" s="608"/>
      <c r="AN80" s="607">
        <f t="shared" si="57"/>
        <v>0</v>
      </c>
      <c r="AO80" s="608"/>
      <c r="AP80" s="608">
        <f t="shared" si="58"/>
        <v>553453.75418216176</v>
      </c>
      <c r="AR80" s="608">
        <v>0</v>
      </c>
      <c r="AS80" s="608"/>
      <c r="AT80" s="797">
        <v>75615.843512394771</v>
      </c>
      <c r="AU80" s="608"/>
      <c r="AV80" s="608">
        <v>0</v>
      </c>
      <c r="AW80" s="608"/>
      <c r="AX80" s="607">
        <f t="shared" si="67"/>
        <v>0</v>
      </c>
      <c r="AY80" s="608"/>
      <c r="AZ80" s="607">
        <f t="shared" si="68"/>
        <v>477837.91066976701</v>
      </c>
      <c r="BA80" s="608"/>
      <c r="BB80" s="607">
        <f t="shared" si="69"/>
        <v>0</v>
      </c>
      <c r="BC80" s="608"/>
      <c r="BD80" s="608">
        <f t="shared" si="62"/>
        <v>477837.91066976701</v>
      </c>
      <c r="BF80" s="708">
        <f t="shared" si="63"/>
        <v>663512.63138641615</v>
      </c>
      <c r="BH80" s="592">
        <f t="shared" si="66"/>
        <v>438</v>
      </c>
    </row>
    <row r="81" spans="1:60" ht="14.5">
      <c r="A81" s="592">
        <f t="shared" si="54"/>
        <v>439</v>
      </c>
      <c r="B81" s="624" t="s">
        <v>1473</v>
      </c>
      <c r="F81" s="711" t="s">
        <v>1404</v>
      </c>
      <c r="H81" s="719"/>
      <c r="J81" s="622">
        <v>-122080.81916864363</v>
      </c>
      <c r="K81" s="608"/>
      <c r="L81" s="622">
        <v>-73662.261069185886</v>
      </c>
      <c r="M81" s="608"/>
      <c r="N81" s="622">
        <v>-48418.558099457739</v>
      </c>
      <c r="P81" s="709" t="s">
        <v>1405</v>
      </c>
      <c r="R81" s="608">
        <v>0</v>
      </c>
      <c r="S81" s="608"/>
      <c r="T81" s="608">
        <f t="shared" si="64"/>
        <v>-48418.558099457739</v>
      </c>
      <c r="U81" s="608"/>
      <c r="V81" s="608">
        <v>0</v>
      </c>
      <c r="W81" s="608"/>
      <c r="X81" s="608">
        <f t="shared" si="65"/>
        <v>-48418.558099457739</v>
      </c>
      <c r="Y81" s="608"/>
      <c r="Z81" s="609" t="s">
        <v>1406</v>
      </c>
      <c r="AA81" s="608"/>
      <c r="AB81" s="608">
        <v>0</v>
      </c>
      <c r="AC81" s="608"/>
      <c r="AD81" s="622">
        <v>-12181.828371932193</v>
      </c>
      <c r="AE81" s="608"/>
      <c r="AF81" s="608">
        <v>0</v>
      </c>
      <c r="AG81" s="608"/>
      <c r="AH81" s="609" t="s">
        <v>1407</v>
      </c>
      <c r="AI81" s="608"/>
      <c r="AJ81" s="607">
        <f t="shared" si="55"/>
        <v>0</v>
      </c>
      <c r="AK81" s="608"/>
      <c r="AL81" s="607">
        <f t="shared" si="56"/>
        <v>-36236.729727525548</v>
      </c>
      <c r="AM81" s="608"/>
      <c r="AN81" s="607">
        <f t="shared" si="57"/>
        <v>0</v>
      </c>
      <c r="AO81" s="608"/>
      <c r="AP81" s="608">
        <f t="shared" si="58"/>
        <v>-36236.729727525548</v>
      </c>
      <c r="AR81" s="608">
        <v>0</v>
      </c>
      <c r="AS81" s="608"/>
      <c r="AT81" s="797">
        <v>-4950.8578878943845</v>
      </c>
      <c r="AU81" s="608"/>
      <c r="AV81" s="608">
        <v>0</v>
      </c>
      <c r="AW81" s="608"/>
      <c r="AX81" s="607">
        <f t="shared" si="67"/>
        <v>0</v>
      </c>
      <c r="AY81" s="608"/>
      <c r="AZ81" s="607">
        <f t="shared" si="68"/>
        <v>-31285.871839631163</v>
      </c>
      <c r="BA81" s="608"/>
      <c r="BB81" s="607">
        <f t="shared" si="69"/>
        <v>0</v>
      </c>
      <c r="BC81" s="608"/>
      <c r="BD81" s="608">
        <f t="shared" si="62"/>
        <v>-31285.871839631163</v>
      </c>
      <c r="BF81" s="708">
        <f t="shared" si="63"/>
        <v>-43442.704494575068</v>
      </c>
      <c r="BH81" s="592">
        <f t="shared" si="66"/>
        <v>439</v>
      </c>
    </row>
    <row r="82" spans="1:60" ht="14.5">
      <c r="A82" s="592">
        <f t="shared" si="54"/>
        <v>440</v>
      </c>
      <c r="B82" s="624" t="s">
        <v>1474</v>
      </c>
      <c r="F82" s="711" t="s">
        <v>1404</v>
      </c>
      <c r="H82" s="719"/>
      <c r="J82" s="622">
        <v>-34475.896786654914</v>
      </c>
      <c r="K82" s="608"/>
      <c r="L82" s="622">
        <v>-20681.103871194482</v>
      </c>
      <c r="M82" s="608"/>
      <c r="N82" s="622">
        <v>-13794.792915460432</v>
      </c>
      <c r="P82" s="709" t="s">
        <v>1405</v>
      </c>
      <c r="R82" s="608">
        <v>0</v>
      </c>
      <c r="S82" s="608"/>
      <c r="T82" s="608">
        <f t="shared" si="64"/>
        <v>-13794.792915460432</v>
      </c>
      <c r="U82" s="608"/>
      <c r="V82" s="608">
        <v>0</v>
      </c>
      <c r="W82" s="608"/>
      <c r="X82" s="608">
        <f t="shared" si="65"/>
        <v>-13794.792915460432</v>
      </c>
      <c r="Y82" s="608"/>
      <c r="Z82" s="609" t="s">
        <v>1406</v>
      </c>
      <c r="AA82" s="608"/>
      <c r="AB82" s="608">
        <v>0</v>
      </c>
      <c r="AC82" s="608"/>
      <c r="AD82" s="622">
        <v>-3470.6898825301273</v>
      </c>
      <c r="AE82" s="608"/>
      <c r="AF82" s="608">
        <v>0</v>
      </c>
      <c r="AG82" s="608"/>
      <c r="AH82" s="609" t="s">
        <v>1407</v>
      </c>
      <c r="AI82" s="608"/>
      <c r="AJ82" s="607">
        <f t="shared" si="55"/>
        <v>0</v>
      </c>
      <c r="AK82" s="608"/>
      <c r="AL82" s="607">
        <f t="shared" si="56"/>
        <v>-10324.103032930305</v>
      </c>
      <c r="AM82" s="608"/>
      <c r="AN82" s="607">
        <f t="shared" si="57"/>
        <v>0</v>
      </c>
      <c r="AO82" s="608"/>
      <c r="AP82" s="608">
        <f t="shared" si="58"/>
        <v>-10324.103032930305</v>
      </c>
      <c r="AR82" s="608">
        <v>0</v>
      </c>
      <c r="AS82" s="608"/>
      <c r="AT82" s="797">
        <v>-1410.5347618383896</v>
      </c>
      <c r="AU82" s="608"/>
      <c r="AV82" s="608">
        <v>0</v>
      </c>
      <c r="AW82" s="608"/>
      <c r="AX82" s="607">
        <f t="shared" si="67"/>
        <v>0</v>
      </c>
      <c r="AY82" s="608"/>
      <c r="AZ82" s="607">
        <f t="shared" si="68"/>
        <v>-8913.5682710919154</v>
      </c>
      <c r="BA82" s="608"/>
      <c r="BB82" s="607">
        <f t="shared" si="69"/>
        <v>0</v>
      </c>
      <c r="BC82" s="608"/>
      <c r="BD82" s="608">
        <f t="shared" si="62"/>
        <v>-8913.5682710919154</v>
      </c>
      <c r="BF82" s="708">
        <f t="shared" si="63"/>
        <v>-12377.136695380379</v>
      </c>
      <c r="BH82" s="592">
        <f t="shared" si="66"/>
        <v>440</v>
      </c>
    </row>
    <row r="83" spans="1:60" ht="14.5">
      <c r="A83" s="592">
        <f t="shared" si="54"/>
        <v>441</v>
      </c>
      <c r="B83" s="624" t="s">
        <v>1475</v>
      </c>
      <c r="F83" s="711" t="s">
        <v>1404</v>
      </c>
      <c r="H83" s="719"/>
      <c r="J83" s="622">
        <v>73984.116584648276</v>
      </c>
      <c r="K83" s="608"/>
      <c r="L83" s="622">
        <v>58565.418742607122</v>
      </c>
      <c r="M83" s="608"/>
      <c r="N83" s="622">
        <v>15418.697842041158</v>
      </c>
      <c r="P83" s="709" t="s">
        <v>1405</v>
      </c>
      <c r="R83" s="608">
        <v>0</v>
      </c>
      <c r="S83" s="608"/>
      <c r="T83" s="608">
        <f t="shared" si="64"/>
        <v>15418.697842041158</v>
      </c>
      <c r="U83" s="608"/>
      <c r="V83" s="608">
        <v>0</v>
      </c>
      <c r="W83" s="608"/>
      <c r="X83" s="608">
        <f t="shared" si="65"/>
        <v>15418.697842041158</v>
      </c>
      <c r="Y83" s="608"/>
      <c r="Z83" s="609" t="s">
        <v>1406</v>
      </c>
      <c r="AA83" s="608"/>
      <c r="AB83" s="608">
        <v>0</v>
      </c>
      <c r="AC83" s="608"/>
      <c r="AD83" s="622">
        <v>3879.2549427970312</v>
      </c>
      <c r="AE83" s="608"/>
      <c r="AF83" s="608">
        <v>0</v>
      </c>
      <c r="AG83" s="608"/>
      <c r="AH83" s="609" t="s">
        <v>1407</v>
      </c>
      <c r="AI83" s="608"/>
      <c r="AJ83" s="607">
        <f t="shared" si="55"/>
        <v>0</v>
      </c>
      <c r="AK83" s="608"/>
      <c r="AL83" s="607">
        <f t="shared" si="56"/>
        <v>11539.442899244126</v>
      </c>
      <c r="AM83" s="608"/>
      <c r="AN83" s="607">
        <f t="shared" si="57"/>
        <v>0</v>
      </c>
      <c r="AO83" s="608"/>
      <c r="AP83" s="608">
        <f t="shared" si="58"/>
        <v>11539.442899244126</v>
      </c>
      <c r="AR83" s="608">
        <v>0</v>
      </c>
      <c r="AS83" s="608"/>
      <c r="AT83" s="797">
        <v>1576.5810637220216</v>
      </c>
      <c r="AU83" s="608"/>
      <c r="AV83" s="608">
        <v>0</v>
      </c>
      <c r="AW83" s="608"/>
      <c r="AX83" s="607">
        <f t="shared" si="67"/>
        <v>0</v>
      </c>
      <c r="AY83" s="608"/>
      <c r="AZ83" s="607">
        <f t="shared" si="68"/>
        <v>9962.8618355221042</v>
      </c>
      <c r="BA83" s="608"/>
      <c r="BB83" s="607">
        <f t="shared" si="69"/>
        <v>0</v>
      </c>
      <c r="BC83" s="608"/>
      <c r="BD83" s="608">
        <f t="shared" si="62"/>
        <v>9962.8618355221042</v>
      </c>
      <c r="BF83" s="708">
        <f t="shared" si="63"/>
        <v>13834.15699135489</v>
      </c>
      <c r="BH83" s="592">
        <f t="shared" si="66"/>
        <v>441</v>
      </c>
    </row>
    <row r="84" spans="1:60" ht="14.5">
      <c r="A84" s="592">
        <f t="shared" si="54"/>
        <v>442</v>
      </c>
      <c r="B84" s="624" t="s">
        <v>1476</v>
      </c>
      <c r="F84" s="711" t="s">
        <v>1404</v>
      </c>
      <c r="H84" s="719"/>
      <c r="J84" s="622">
        <v>928.07819827603748</v>
      </c>
      <c r="K84" s="608"/>
      <c r="L84" s="622">
        <v>556.76096732724022</v>
      </c>
      <c r="M84" s="608"/>
      <c r="N84" s="622">
        <v>371.31723094879726</v>
      </c>
      <c r="P84" s="709" t="s">
        <v>1405</v>
      </c>
      <c r="R84" s="608">
        <v>0</v>
      </c>
      <c r="S84" s="608"/>
      <c r="T84" s="608">
        <f t="shared" si="64"/>
        <v>371.31723094879726</v>
      </c>
      <c r="U84" s="608"/>
      <c r="V84" s="608">
        <v>0</v>
      </c>
      <c r="W84" s="608"/>
      <c r="X84" s="608">
        <f t="shared" si="65"/>
        <v>371.31723094879726</v>
      </c>
      <c r="Y84" s="608"/>
      <c r="Z84" s="609" t="s">
        <v>1406</v>
      </c>
      <c r="AA84" s="608"/>
      <c r="AB84" s="608">
        <v>0</v>
      </c>
      <c r="AC84" s="608"/>
      <c r="AD84" s="622">
        <v>93.421261526786694</v>
      </c>
      <c r="AE84" s="608"/>
      <c r="AF84" s="608">
        <v>0</v>
      </c>
      <c r="AG84" s="608"/>
      <c r="AH84" s="609" t="s">
        <v>1407</v>
      </c>
      <c r="AI84" s="608"/>
      <c r="AJ84" s="607">
        <f t="shared" si="55"/>
        <v>0</v>
      </c>
      <c r="AK84" s="608"/>
      <c r="AL84" s="607">
        <f t="shared" si="56"/>
        <v>277.89596942201058</v>
      </c>
      <c r="AM84" s="608"/>
      <c r="AN84" s="607">
        <f t="shared" si="57"/>
        <v>0</v>
      </c>
      <c r="AO84" s="608"/>
      <c r="AP84" s="608">
        <f t="shared" si="58"/>
        <v>277.89596942201058</v>
      </c>
      <c r="AR84" s="608">
        <v>0</v>
      </c>
      <c r="AS84" s="608"/>
      <c r="AT84" s="797">
        <v>37.967649469812315</v>
      </c>
      <c r="AU84" s="608"/>
      <c r="AV84" s="608">
        <v>0</v>
      </c>
      <c r="AW84" s="608"/>
      <c r="AX84" s="607">
        <f t="shared" si="67"/>
        <v>0</v>
      </c>
      <c r="AY84" s="608"/>
      <c r="AZ84" s="607">
        <f t="shared" si="68"/>
        <v>239.92831995219825</v>
      </c>
      <c r="BA84" s="608"/>
      <c r="BB84" s="607">
        <f t="shared" si="69"/>
        <v>0</v>
      </c>
      <c r="BC84" s="608"/>
      <c r="BD84" s="608">
        <f t="shared" si="62"/>
        <v>239.92831995219825</v>
      </c>
      <c r="BF84" s="708">
        <f t="shared" si="63"/>
        <v>333.15789174715513</v>
      </c>
      <c r="BH84" s="592">
        <f t="shared" si="66"/>
        <v>442</v>
      </c>
    </row>
    <row r="85" spans="1:60" ht="14.5">
      <c r="A85" s="592">
        <f t="shared" si="54"/>
        <v>443</v>
      </c>
      <c r="B85" s="624" t="s">
        <v>1477</v>
      </c>
      <c r="F85" s="711" t="s">
        <v>1404</v>
      </c>
      <c r="H85" s="719"/>
      <c r="J85" s="622">
        <v>19298495.997185547</v>
      </c>
      <c r="K85" s="608"/>
      <c r="L85" s="622">
        <v>11429050.618671767</v>
      </c>
      <c r="M85" s="608"/>
      <c r="N85" s="622">
        <v>7869445.3785137795</v>
      </c>
      <c r="P85" s="709" t="s">
        <v>1405</v>
      </c>
      <c r="R85" s="608">
        <v>0</v>
      </c>
      <c r="S85" s="608"/>
      <c r="T85" s="608">
        <f t="shared" si="64"/>
        <v>7869445.3785137795</v>
      </c>
      <c r="U85" s="608"/>
      <c r="V85" s="608">
        <v>0</v>
      </c>
      <c r="W85" s="608"/>
      <c r="X85" s="608">
        <f t="shared" si="65"/>
        <v>7869445.3785137795</v>
      </c>
      <c r="Y85" s="608"/>
      <c r="Z85" s="609" t="s">
        <v>1406</v>
      </c>
      <c r="AA85" s="608"/>
      <c r="AB85" s="608">
        <v>0</v>
      </c>
      <c r="AC85" s="608"/>
      <c r="AD85" s="622">
        <v>1979906.8114839932</v>
      </c>
      <c r="AE85" s="608"/>
      <c r="AF85" s="608">
        <v>0</v>
      </c>
      <c r="AG85" s="608"/>
      <c r="AH85" s="609" t="s">
        <v>1407</v>
      </c>
      <c r="AI85" s="608"/>
      <c r="AJ85" s="607">
        <f t="shared" si="55"/>
        <v>0</v>
      </c>
      <c r="AK85" s="608"/>
      <c r="AL85" s="607">
        <f t="shared" si="56"/>
        <v>5889538.5670297863</v>
      </c>
      <c r="AM85" s="608"/>
      <c r="AN85" s="607">
        <f t="shared" si="57"/>
        <v>0</v>
      </c>
      <c r="AO85" s="608"/>
      <c r="AP85" s="608">
        <f t="shared" si="58"/>
        <v>5889538.5670297863</v>
      </c>
      <c r="AR85" s="608">
        <v>0</v>
      </c>
      <c r="AS85" s="608"/>
      <c r="AT85" s="797">
        <v>804660.59409574396</v>
      </c>
      <c r="AU85" s="608"/>
      <c r="AV85" s="608">
        <v>0</v>
      </c>
      <c r="AW85" s="608"/>
      <c r="AX85" s="607">
        <f t="shared" si="67"/>
        <v>0</v>
      </c>
      <c r="AY85" s="608"/>
      <c r="AZ85" s="607">
        <f t="shared" si="68"/>
        <v>5084877.9729340421</v>
      </c>
      <c r="BA85" s="608"/>
      <c r="BB85" s="607">
        <f t="shared" si="69"/>
        <v>0</v>
      </c>
      <c r="BC85" s="608"/>
      <c r="BD85" s="608">
        <f t="shared" si="62"/>
        <v>5084877.9729340421</v>
      </c>
      <c r="BF85" s="708">
        <f t="shared" si="63"/>
        <v>7060722.24234208</v>
      </c>
      <c r="BH85" s="592">
        <f t="shared" si="66"/>
        <v>443</v>
      </c>
    </row>
    <row r="86" spans="1:60" ht="14.5">
      <c r="A86" s="592">
        <f t="shared" si="54"/>
        <v>444</v>
      </c>
      <c r="B86" s="624" t="s">
        <v>1478</v>
      </c>
      <c r="F86" s="711" t="s">
        <v>1404</v>
      </c>
      <c r="H86" s="719"/>
      <c r="J86" s="622">
        <v>1257231.8788000001</v>
      </c>
      <c r="K86" s="608"/>
      <c r="L86" s="622">
        <v>755662.71551040001</v>
      </c>
      <c r="M86" s="608"/>
      <c r="N86" s="622">
        <v>501569.16328959999</v>
      </c>
      <c r="P86" s="709" t="s">
        <v>1405</v>
      </c>
      <c r="R86" s="608">
        <v>0</v>
      </c>
      <c r="S86" s="608"/>
      <c r="T86" s="608">
        <f t="shared" si="64"/>
        <v>501569.16328959999</v>
      </c>
      <c r="U86" s="608"/>
      <c r="V86" s="608">
        <v>0</v>
      </c>
      <c r="W86" s="608"/>
      <c r="X86" s="608">
        <f t="shared" si="65"/>
        <v>501569.16328959999</v>
      </c>
      <c r="Y86" s="608"/>
      <c r="Z86" s="609" t="s">
        <v>1406</v>
      </c>
      <c r="AA86" s="608"/>
      <c r="AB86" s="608">
        <v>0</v>
      </c>
      <c r="AC86" s="608"/>
      <c r="AD86" s="622">
        <v>126191.89219341848</v>
      </c>
      <c r="AE86" s="608"/>
      <c r="AF86" s="608">
        <v>0</v>
      </c>
      <c r="AG86" s="608"/>
      <c r="AH86" s="609" t="s">
        <v>1407</v>
      </c>
      <c r="AI86" s="608"/>
      <c r="AJ86" s="607">
        <f t="shared" si="55"/>
        <v>0</v>
      </c>
      <c r="AK86" s="608"/>
      <c r="AL86" s="607">
        <f t="shared" si="56"/>
        <v>375377.27109618153</v>
      </c>
      <c r="AM86" s="608"/>
      <c r="AN86" s="607">
        <f t="shared" si="57"/>
        <v>0</v>
      </c>
      <c r="AO86" s="608"/>
      <c r="AP86" s="608">
        <f t="shared" si="58"/>
        <v>375377.27109618153</v>
      </c>
      <c r="AR86" s="608">
        <v>0</v>
      </c>
      <c r="AS86" s="608"/>
      <c r="AT86" s="797">
        <v>51286.071825933068</v>
      </c>
      <c r="AU86" s="608"/>
      <c r="AV86" s="608">
        <v>0</v>
      </c>
      <c r="AW86" s="608"/>
      <c r="AX86" s="607">
        <f t="shared" si="67"/>
        <v>0</v>
      </c>
      <c r="AY86" s="608"/>
      <c r="AZ86" s="607">
        <f t="shared" si="68"/>
        <v>324091.19927024847</v>
      </c>
      <c r="BA86" s="608"/>
      <c r="BB86" s="607">
        <f t="shared" si="69"/>
        <v>0</v>
      </c>
      <c r="BC86" s="608"/>
      <c r="BD86" s="608">
        <f t="shared" si="62"/>
        <v>324091.19927024847</v>
      </c>
      <c r="BF86" s="708">
        <f t="shared" si="63"/>
        <v>450024.16014997754</v>
      </c>
      <c r="BH86" s="592">
        <f t="shared" si="66"/>
        <v>444</v>
      </c>
    </row>
    <row r="87" spans="1:60" ht="14.5">
      <c r="A87" s="592">
        <f t="shared" si="54"/>
        <v>445</v>
      </c>
      <c r="B87" s="624" t="s">
        <v>1479</v>
      </c>
      <c r="F87" s="711" t="s">
        <v>1404</v>
      </c>
      <c r="H87" s="719"/>
      <c r="J87" s="622">
        <v>1143941.5022</v>
      </c>
      <c r="K87" s="608"/>
      <c r="L87" s="622">
        <v>687601.58116902411</v>
      </c>
      <c r="M87" s="608"/>
      <c r="N87" s="622">
        <v>456339.92103097605</v>
      </c>
      <c r="P87" s="709" t="s">
        <v>1405</v>
      </c>
      <c r="R87" s="608">
        <v>0</v>
      </c>
      <c r="S87" s="608"/>
      <c r="T87" s="608">
        <f t="shared" si="64"/>
        <v>456339.92103097605</v>
      </c>
      <c r="U87" s="608"/>
      <c r="V87" s="608">
        <v>0</v>
      </c>
      <c r="W87" s="608"/>
      <c r="X87" s="608">
        <f t="shared" si="65"/>
        <v>456339.92103097605</v>
      </c>
      <c r="Y87" s="608"/>
      <c r="Z87" s="609" t="s">
        <v>1406</v>
      </c>
      <c r="AA87" s="608"/>
      <c r="AB87" s="608">
        <v>0</v>
      </c>
      <c r="AC87" s="608"/>
      <c r="AD87" s="622">
        <v>114812.47718780578</v>
      </c>
      <c r="AE87" s="608"/>
      <c r="AF87" s="608">
        <v>0</v>
      </c>
      <c r="AG87" s="608"/>
      <c r="AH87" s="609" t="s">
        <v>1407</v>
      </c>
      <c r="AI87" s="608"/>
      <c r="AJ87" s="607">
        <f t="shared" si="55"/>
        <v>0</v>
      </c>
      <c r="AK87" s="608"/>
      <c r="AL87" s="607">
        <f t="shared" si="56"/>
        <v>341527.4438431703</v>
      </c>
      <c r="AM87" s="608"/>
      <c r="AN87" s="607">
        <f t="shared" si="57"/>
        <v>0</v>
      </c>
      <c r="AO87" s="608"/>
      <c r="AP87" s="608">
        <f t="shared" si="58"/>
        <v>341527.4438431703</v>
      </c>
      <c r="AR87" s="608">
        <v>0</v>
      </c>
      <c r="AS87" s="608"/>
      <c r="AT87" s="797">
        <v>46661.325456170722</v>
      </c>
      <c r="AU87" s="608"/>
      <c r="AV87" s="608">
        <v>0</v>
      </c>
      <c r="AW87" s="608"/>
      <c r="AX87" s="607">
        <f t="shared" si="67"/>
        <v>0</v>
      </c>
      <c r="AY87" s="608"/>
      <c r="AZ87" s="607">
        <f t="shared" si="68"/>
        <v>294866.11838699959</v>
      </c>
      <c r="BA87" s="608"/>
      <c r="BB87" s="607">
        <f t="shared" si="69"/>
        <v>0</v>
      </c>
      <c r="BC87" s="608"/>
      <c r="BD87" s="608">
        <f t="shared" si="62"/>
        <v>294866.11838699959</v>
      </c>
      <c r="BF87" s="708">
        <f t="shared" si="63"/>
        <v>409443.01351775369</v>
      </c>
      <c r="BH87" s="592">
        <f t="shared" si="66"/>
        <v>445</v>
      </c>
    </row>
    <row r="88" spans="1:60" ht="14.5">
      <c r="A88" s="592">
        <f t="shared" si="54"/>
        <v>446</v>
      </c>
      <c r="B88" s="624" t="s">
        <v>1480</v>
      </c>
      <c r="F88" s="711" t="s">
        <v>1404</v>
      </c>
      <c r="H88" s="719"/>
      <c r="J88" s="622">
        <v>-474400.43319827609</v>
      </c>
      <c r="K88" s="608"/>
      <c r="L88" s="622">
        <v>-284579.21883587126</v>
      </c>
      <c r="M88" s="608"/>
      <c r="N88" s="622">
        <v>-189821.21436240477</v>
      </c>
      <c r="P88" s="709" t="s">
        <v>1405</v>
      </c>
      <c r="R88" s="608">
        <v>0</v>
      </c>
      <c r="S88" s="608"/>
      <c r="T88" s="608">
        <f t="shared" si="64"/>
        <v>-189821.21436240477</v>
      </c>
      <c r="U88" s="608"/>
      <c r="V88" s="608">
        <v>0</v>
      </c>
      <c r="W88" s="608"/>
      <c r="X88" s="608">
        <f t="shared" si="65"/>
        <v>-189821.21436240477</v>
      </c>
      <c r="Y88" s="608"/>
      <c r="Z88" s="609" t="s">
        <v>1406</v>
      </c>
      <c r="AA88" s="608"/>
      <c r="AB88" s="608">
        <v>0</v>
      </c>
      <c r="AC88" s="608"/>
      <c r="AD88" s="622">
        <v>-47757.916498972787</v>
      </c>
      <c r="AE88" s="608"/>
      <c r="AF88" s="608">
        <v>0</v>
      </c>
      <c r="AG88" s="608"/>
      <c r="AH88" s="609" t="s">
        <v>1407</v>
      </c>
      <c r="AI88" s="608"/>
      <c r="AJ88" s="607">
        <f t="shared" si="55"/>
        <v>0</v>
      </c>
      <c r="AK88" s="608"/>
      <c r="AL88" s="607">
        <f t="shared" si="56"/>
        <v>-142063.29786343197</v>
      </c>
      <c r="AM88" s="608"/>
      <c r="AN88" s="607">
        <f t="shared" si="57"/>
        <v>0</v>
      </c>
      <c r="AO88" s="608"/>
      <c r="AP88" s="608">
        <f t="shared" si="58"/>
        <v>-142063.29786343197</v>
      </c>
      <c r="AR88" s="608">
        <v>0</v>
      </c>
      <c r="AS88" s="608"/>
      <c r="AT88" s="797">
        <v>-19409.455657175538</v>
      </c>
      <c r="AU88" s="608"/>
      <c r="AV88" s="608">
        <v>0</v>
      </c>
      <c r="AW88" s="608"/>
      <c r="AX88" s="607">
        <f t="shared" si="67"/>
        <v>0</v>
      </c>
      <c r="AY88" s="608"/>
      <c r="AZ88" s="607">
        <f t="shared" si="68"/>
        <v>-122653.84220625644</v>
      </c>
      <c r="BA88" s="608"/>
      <c r="BB88" s="607">
        <f t="shared" si="69"/>
        <v>0</v>
      </c>
      <c r="BC88" s="608"/>
      <c r="BD88" s="608">
        <f t="shared" si="62"/>
        <v>-122653.84220625644</v>
      </c>
      <c r="BF88" s="708">
        <f t="shared" si="63"/>
        <v>-170313.76492890011</v>
      </c>
      <c r="BH88" s="592">
        <f t="shared" si="66"/>
        <v>446</v>
      </c>
    </row>
    <row r="89" spans="1:60" ht="14.5">
      <c r="A89" s="592">
        <f t="shared" si="54"/>
        <v>447</v>
      </c>
      <c r="B89" s="624" t="s">
        <v>1481</v>
      </c>
      <c r="F89" s="711" t="s">
        <v>1404</v>
      </c>
      <c r="H89" s="719"/>
      <c r="J89" s="622">
        <v>4916762.5998</v>
      </c>
      <c r="K89" s="608"/>
      <c r="L89" s="622">
        <v>2949422.0079276799</v>
      </c>
      <c r="M89" s="608"/>
      <c r="N89" s="622">
        <v>1967340.59187232</v>
      </c>
      <c r="P89" s="709" t="s">
        <v>1405</v>
      </c>
      <c r="R89" s="608">
        <v>0</v>
      </c>
      <c r="S89" s="608"/>
      <c r="T89" s="608">
        <f t="shared" si="64"/>
        <v>1967340.59187232</v>
      </c>
      <c r="U89" s="608"/>
      <c r="V89" s="608">
        <v>0</v>
      </c>
      <c r="W89" s="608"/>
      <c r="X89" s="608">
        <f t="shared" si="65"/>
        <v>1967340.59187232</v>
      </c>
      <c r="Y89" s="608"/>
      <c r="Z89" s="609" t="s">
        <v>1406</v>
      </c>
      <c r="AA89" s="608"/>
      <c r="AB89" s="608">
        <v>0</v>
      </c>
      <c r="AC89" s="608"/>
      <c r="AD89" s="622">
        <v>494971.48159793107</v>
      </c>
      <c r="AE89" s="608"/>
      <c r="AF89" s="608">
        <v>0</v>
      </c>
      <c r="AG89" s="608"/>
      <c r="AH89" s="609" t="s">
        <v>1407</v>
      </c>
      <c r="AI89" s="608"/>
      <c r="AJ89" s="607">
        <f t="shared" si="55"/>
        <v>0</v>
      </c>
      <c r="AK89" s="608"/>
      <c r="AL89" s="607">
        <f t="shared" si="56"/>
        <v>1472369.1102743889</v>
      </c>
      <c r="AM89" s="608"/>
      <c r="AN89" s="607">
        <f t="shared" si="57"/>
        <v>0</v>
      </c>
      <c r="AO89" s="608"/>
      <c r="AP89" s="608">
        <f t="shared" si="58"/>
        <v>1472369.1102743889</v>
      </c>
      <c r="AR89" s="608">
        <v>0</v>
      </c>
      <c r="AS89" s="608"/>
      <c r="AT89" s="797">
        <v>201163.0265287674</v>
      </c>
      <c r="AU89" s="608"/>
      <c r="AV89" s="608">
        <v>0</v>
      </c>
      <c r="AW89" s="608"/>
      <c r="AX89" s="607">
        <f t="shared" si="67"/>
        <v>0</v>
      </c>
      <c r="AY89" s="608"/>
      <c r="AZ89" s="607">
        <f t="shared" si="68"/>
        <v>1271206.0837456216</v>
      </c>
      <c r="BA89" s="608"/>
      <c r="BB89" s="607">
        <f t="shared" si="69"/>
        <v>0</v>
      </c>
      <c r="BC89" s="608"/>
      <c r="BD89" s="608">
        <f t="shared" si="62"/>
        <v>1271206.0837456216</v>
      </c>
      <c r="BF89" s="708">
        <f t="shared" si="63"/>
        <v>1765161.9405380185</v>
      </c>
      <c r="BH89" s="592">
        <f t="shared" si="66"/>
        <v>447</v>
      </c>
    </row>
    <row r="90" spans="1:60" ht="14.5">
      <c r="A90" s="592">
        <f t="shared" si="54"/>
        <v>448</v>
      </c>
      <c r="B90" s="624" t="s">
        <v>1482</v>
      </c>
      <c r="F90" s="711" t="s">
        <v>1404</v>
      </c>
      <c r="H90" s="719"/>
      <c r="J90" s="622">
        <v>290428.08638158668</v>
      </c>
      <c r="K90" s="608"/>
      <c r="L90" s="622">
        <v>174353.84748372421</v>
      </c>
      <c r="M90" s="608"/>
      <c r="N90" s="622">
        <v>116074.23889786248</v>
      </c>
      <c r="P90" s="709" t="s">
        <v>1405</v>
      </c>
      <c r="R90" s="608">
        <v>0</v>
      </c>
      <c r="S90" s="608"/>
      <c r="T90" s="608">
        <f t="shared" si="64"/>
        <v>116074.23889786248</v>
      </c>
      <c r="U90" s="608"/>
      <c r="V90" s="608">
        <v>0</v>
      </c>
      <c r="W90" s="608"/>
      <c r="X90" s="608">
        <f t="shared" si="65"/>
        <v>116074.23889786248</v>
      </c>
      <c r="Y90" s="608"/>
      <c r="Z90" s="609" t="s">
        <v>1406</v>
      </c>
      <c r="AA90" s="608"/>
      <c r="AB90" s="608">
        <v>0</v>
      </c>
      <c r="AC90" s="608"/>
      <c r="AD90" s="622">
        <v>29203.605232355163</v>
      </c>
      <c r="AE90" s="608"/>
      <c r="AF90" s="608">
        <v>0</v>
      </c>
      <c r="AG90" s="608"/>
      <c r="AH90" s="609" t="s">
        <v>1407</v>
      </c>
      <c r="AI90" s="608"/>
      <c r="AJ90" s="607">
        <f t="shared" si="55"/>
        <v>0</v>
      </c>
      <c r="AK90" s="608"/>
      <c r="AL90" s="607">
        <f t="shared" si="56"/>
        <v>86870.63366550731</v>
      </c>
      <c r="AM90" s="608"/>
      <c r="AN90" s="607">
        <f t="shared" si="57"/>
        <v>0</v>
      </c>
      <c r="AO90" s="608"/>
      <c r="AP90" s="608">
        <f t="shared" si="58"/>
        <v>86870.63366550731</v>
      </c>
      <c r="AR90" s="608">
        <v>0</v>
      </c>
      <c r="AS90" s="608"/>
      <c r="AT90" s="797">
        <v>11868.735538311199</v>
      </c>
      <c r="AU90" s="608"/>
      <c r="AV90" s="608">
        <v>0</v>
      </c>
      <c r="AW90" s="608"/>
      <c r="AX90" s="607">
        <f t="shared" si="67"/>
        <v>0</v>
      </c>
      <c r="AY90" s="608"/>
      <c r="AZ90" s="607">
        <f t="shared" si="68"/>
        <v>75001.898127196109</v>
      </c>
      <c r="BA90" s="608"/>
      <c r="BB90" s="607">
        <f t="shared" si="69"/>
        <v>0</v>
      </c>
      <c r="BC90" s="608"/>
      <c r="BD90" s="608">
        <f t="shared" si="62"/>
        <v>75001.898127196109</v>
      </c>
      <c r="BF90" s="708">
        <f t="shared" si="63"/>
        <v>104145.580905455</v>
      </c>
      <c r="BH90" s="592">
        <f t="shared" si="66"/>
        <v>448</v>
      </c>
    </row>
    <row r="91" spans="1:60" ht="14.5">
      <c r="A91" s="592">
        <f t="shared" si="54"/>
        <v>449</v>
      </c>
      <c r="B91" s="624" t="s">
        <v>1483</v>
      </c>
      <c r="F91" s="711" t="s">
        <v>1404</v>
      </c>
      <c r="H91" s="719"/>
      <c r="J91" s="622">
        <v>114943.94202037899</v>
      </c>
      <c r="K91" s="608"/>
      <c r="L91" s="622">
        <v>68951.470341309556</v>
      </c>
      <c r="M91" s="608"/>
      <c r="N91" s="622">
        <v>45992.471679069444</v>
      </c>
      <c r="P91" s="709" t="s">
        <v>1405</v>
      </c>
      <c r="R91" s="608">
        <v>0</v>
      </c>
      <c r="S91" s="608"/>
      <c r="T91" s="608">
        <f t="shared" si="64"/>
        <v>45992.471679069444</v>
      </c>
      <c r="U91" s="608"/>
      <c r="V91" s="608">
        <v>0</v>
      </c>
      <c r="W91" s="608"/>
      <c r="X91" s="608">
        <f t="shared" si="65"/>
        <v>45992.471679069444</v>
      </c>
      <c r="Y91" s="608"/>
      <c r="Z91" s="609" t="s">
        <v>1406</v>
      </c>
      <c r="AA91" s="608"/>
      <c r="AB91" s="608">
        <v>0</v>
      </c>
      <c r="AC91" s="608"/>
      <c r="AD91" s="622">
        <v>11571.4391007784</v>
      </c>
      <c r="AE91" s="608"/>
      <c r="AF91" s="608">
        <v>0</v>
      </c>
      <c r="AG91" s="608"/>
      <c r="AH91" s="609" t="s">
        <v>1407</v>
      </c>
      <c r="AI91" s="608"/>
      <c r="AJ91" s="607">
        <f t="shared" si="55"/>
        <v>0</v>
      </c>
      <c r="AK91" s="608"/>
      <c r="AL91" s="607">
        <f t="shared" si="56"/>
        <v>34421.032578291044</v>
      </c>
      <c r="AM91" s="608"/>
      <c r="AN91" s="607">
        <f t="shared" si="57"/>
        <v>0</v>
      </c>
      <c r="AO91" s="608"/>
      <c r="AP91" s="608">
        <f t="shared" si="58"/>
        <v>34421.032578291044</v>
      </c>
      <c r="AR91" s="608">
        <v>0</v>
      </c>
      <c r="AS91" s="608"/>
      <c r="AT91" s="797">
        <v>4702.7875288717078</v>
      </c>
      <c r="AU91" s="608"/>
      <c r="AV91" s="608">
        <v>0</v>
      </c>
      <c r="AW91" s="608"/>
      <c r="AX91" s="607">
        <f t="shared" si="67"/>
        <v>0</v>
      </c>
      <c r="AY91" s="608"/>
      <c r="AZ91" s="607">
        <f t="shared" si="68"/>
        <v>29718.245049419336</v>
      </c>
      <c r="BA91" s="608"/>
      <c r="BB91" s="607">
        <f t="shared" si="69"/>
        <v>0</v>
      </c>
      <c r="BC91" s="608"/>
      <c r="BD91" s="608">
        <f t="shared" si="62"/>
        <v>29718.245049419336</v>
      </c>
      <c r="BF91" s="708">
        <f t="shared" si="63"/>
        <v>41265.940882103707</v>
      </c>
      <c r="BH91" s="592">
        <f t="shared" si="66"/>
        <v>449</v>
      </c>
    </row>
    <row r="92" spans="1:60" ht="14.5">
      <c r="A92" s="592">
        <f t="shared" si="54"/>
        <v>450</v>
      </c>
      <c r="B92" s="624" t="s">
        <v>1484</v>
      </c>
      <c r="F92" s="711" t="s">
        <v>1404</v>
      </c>
      <c r="H92" s="719"/>
      <c r="J92" s="622">
        <v>831141.34682690329</v>
      </c>
      <c r="K92" s="608"/>
      <c r="L92" s="622">
        <v>498577.39556428313</v>
      </c>
      <c r="M92" s="608"/>
      <c r="N92" s="622">
        <v>332563.9512626201</v>
      </c>
      <c r="P92" s="709" t="s">
        <v>1405</v>
      </c>
      <c r="R92" s="608">
        <v>0</v>
      </c>
      <c r="S92" s="608"/>
      <c r="T92" s="608">
        <f t="shared" si="64"/>
        <v>332563.9512626201</v>
      </c>
      <c r="U92" s="608"/>
      <c r="V92" s="608">
        <v>0</v>
      </c>
      <c r="W92" s="608"/>
      <c r="X92" s="608">
        <f t="shared" si="65"/>
        <v>332563.9512626201</v>
      </c>
      <c r="Y92" s="608"/>
      <c r="Z92" s="609" t="s">
        <v>1406</v>
      </c>
      <c r="AA92" s="608"/>
      <c r="AB92" s="608">
        <v>0</v>
      </c>
      <c r="AC92" s="608"/>
      <c r="AD92" s="622">
        <v>83671.161141377161</v>
      </c>
      <c r="AE92" s="608"/>
      <c r="AF92" s="608">
        <v>0</v>
      </c>
      <c r="AG92" s="608"/>
      <c r="AH92" s="609" t="s">
        <v>1407</v>
      </c>
      <c r="AI92" s="608"/>
      <c r="AJ92" s="607">
        <f t="shared" si="55"/>
        <v>0</v>
      </c>
      <c r="AK92" s="608"/>
      <c r="AL92" s="607">
        <f t="shared" si="56"/>
        <v>248892.79012124293</v>
      </c>
      <c r="AM92" s="608"/>
      <c r="AN92" s="607">
        <f t="shared" si="57"/>
        <v>0</v>
      </c>
      <c r="AO92" s="608"/>
      <c r="AP92" s="608">
        <f t="shared" si="58"/>
        <v>248892.79012124293</v>
      </c>
      <c r="AR92" s="608">
        <v>0</v>
      </c>
      <c r="AS92" s="608"/>
      <c r="AT92" s="797">
        <v>34005.078341155851</v>
      </c>
      <c r="AU92" s="608"/>
      <c r="AV92" s="608">
        <v>0</v>
      </c>
      <c r="AW92" s="608"/>
      <c r="AX92" s="607">
        <f t="shared" si="67"/>
        <v>0</v>
      </c>
      <c r="AY92" s="608"/>
      <c r="AZ92" s="607">
        <f t="shared" si="68"/>
        <v>214887.71178008709</v>
      </c>
      <c r="BA92" s="608"/>
      <c r="BB92" s="607">
        <f t="shared" si="69"/>
        <v>0</v>
      </c>
      <c r="BC92" s="608"/>
      <c r="BD92" s="608">
        <f t="shared" si="62"/>
        <v>214887.71178008709</v>
      </c>
      <c r="BF92" s="708">
        <f t="shared" si="63"/>
        <v>298387.18927922955</v>
      </c>
      <c r="BH92" s="592">
        <f t="shared" si="66"/>
        <v>450</v>
      </c>
    </row>
    <row r="93" spans="1:60" ht="14.5">
      <c r="A93" s="592">
        <f t="shared" si="54"/>
        <v>451</v>
      </c>
      <c r="B93" s="624" t="s">
        <v>1485</v>
      </c>
      <c r="F93" s="711" t="s">
        <v>1404</v>
      </c>
      <c r="H93" s="719"/>
      <c r="J93" s="622">
        <v>8456.3577108052286</v>
      </c>
      <c r="K93" s="608"/>
      <c r="L93" s="622">
        <v>5072.7008124667409</v>
      </c>
      <c r="M93" s="608"/>
      <c r="N93" s="622">
        <v>3383.6568983384873</v>
      </c>
      <c r="P93" s="709" t="s">
        <v>1405</v>
      </c>
      <c r="R93" s="608">
        <v>0</v>
      </c>
      <c r="S93" s="608"/>
      <c r="T93" s="608">
        <f t="shared" si="64"/>
        <v>3383.6568983384873</v>
      </c>
      <c r="U93" s="608"/>
      <c r="V93" s="608">
        <v>0</v>
      </c>
      <c r="W93" s="608"/>
      <c r="X93" s="608">
        <f t="shared" si="65"/>
        <v>3383.6568983384873</v>
      </c>
      <c r="Y93" s="608"/>
      <c r="Z93" s="609" t="s">
        <v>1406</v>
      </c>
      <c r="AA93" s="608"/>
      <c r="AB93" s="608">
        <v>0</v>
      </c>
      <c r="AC93" s="608"/>
      <c r="AD93" s="622">
        <v>851.30844913627243</v>
      </c>
      <c r="AE93" s="608"/>
      <c r="AF93" s="608">
        <v>0</v>
      </c>
      <c r="AG93" s="608"/>
      <c r="AH93" s="609" t="s">
        <v>1407</v>
      </c>
      <c r="AI93" s="608"/>
      <c r="AJ93" s="607">
        <f t="shared" si="55"/>
        <v>0</v>
      </c>
      <c r="AK93" s="608"/>
      <c r="AL93" s="607">
        <f t="shared" si="56"/>
        <v>2532.3484492022149</v>
      </c>
      <c r="AM93" s="608"/>
      <c r="AN93" s="607">
        <f t="shared" si="57"/>
        <v>0</v>
      </c>
      <c r="AO93" s="608"/>
      <c r="AP93" s="608">
        <f t="shared" si="58"/>
        <v>2532.3484492022149</v>
      </c>
      <c r="AR93" s="608">
        <v>0</v>
      </c>
      <c r="AS93" s="608"/>
      <c r="AT93" s="797">
        <v>345.98313338155697</v>
      </c>
      <c r="AU93" s="608"/>
      <c r="AV93" s="608">
        <v>0</v>
      </c>
      <c r="AW93" s="608"/>
      <c r="AX93" s="607">
        <f t="shared" si="67"/>
        <v>0</v>
      </c>
      <c r="AY93" s="608"/>
      <c r="AZ93" s="607">
        <f t="shared" si="68"/>
        <v>2186.365315820658</v>
      </c>
      <c r="BA93" s="608"/>
      <c r="BB93" s="607">
        <f t="shared" si="69"/>
        <v>0</v>
      </c>
      <c r="BC93" s="608"/>
      <c r="BD93" s="608">
        <f t="shared" si="62"/>
        <v>2186.365315820658</v>
      </c>
      <c r="BF93" s="708">
        <f t="shared" si="63"/>
        <v>3035.9269774949285</v>
      </c>
      <c r="BH93" s="592">
        <f t="shared" si="66"/>
        <v>451</v>
      </c>
    </row>
    <row r="94" spans="1:60" ht="14.5">
      <c r="A94" s="592">
        <f t="shared" si="54"/>
        <v>452</v>
      </c>
      <c r="B94" s="624" t="s">
        <v>1486</v>
      </c>
      <c r="F94" s="711" t="s">
        <v>1404</v>
      </c>
      <c r="H94" s="719"/>
      <c r="J94" s="622">
        <v>-244.71339996627793</v>
      </c>
      <c r="K94" s="608"/>
      <c r="L94" s="622">
        <v>-146.77328667097626</v>
      </c>
      <c r="M94" s="608"/>
      <c r="N94" s="622">
        <v>-97.940113295301657</v>
      </c>
      <c r="P94" s="709" t="s">
        <v>1405</v>
      </c>
      <c r="R94" s="608">
        <v>0</v>
      </c>
      <c r="S94" s="608"/>
      <c r="T94" s="608">
        <f t="shared" si="64"/>
        <v>-97.940113295301657</v>
      </c>
      <c r="U94" s="608"/>
      <c r="V94" s="608">
        <v>0</v>
      </c>
      <c r="W94" s="608"/>
      <c r="X94" s="608">
        <f t="shared" si="65"/>
        <v>-97.940113295301657</v>
      </c>
      <c r="Y94" s="608"/>
      <c r="Z94" s="609" t="s">
        <v>1406</v>
      </c>
      <c r="AA94" s="608"/>
      <c r="AB94" s="608">
        <v>0</v>
      </c>
      <c r="AC94" s="608"/>
      <c r="AD94" s="622">
        <v>-24.641164415516148</v>
      </c>
      <c r="AE94" s="608"/>
      <c r="AF94" s="608">
        <v>0</v>
      </c>
      <c r="AG94" s="608"/>
      <c r="AH94" s="609" t="s">
        <v>1407</v>
      </c>
      <c r="AI94" s="608"/>
      <c r="AJ94" s="607">
        <f t="shared" si="55"/>
        <v>0</v>
      </c>
      <c r="AK94" s="608"/>
      <c r="AL94" s="607">
        <f t="shared" si="56"/>
        <v>-73.298948879785513</v>
      </c>
      <c r="AM94" s="608"/>
      <c r="AN94" s="607">
        <f t="shared" si="57"/>
        <v>0</v>
      </c>
      <c r="AO94" s="608"/>
      <c r="AP94" s="608">
        <f t="shared" si="58"/>
        <v>-73.298948879785513</v>
      </c>
      <c r="AR94" s="608">
        <v>0</v>
      </c>
      <c r="AS94" s="608"/>
      <c r="AT94" s="797">
        <v>-10.014498603062373</v>
      </c>
      <c r="AU94" s="608"/>
      <c r="AV94" s="608">
        <v>0</v>
      </c>
      <c r="AW94" s="608"/>
      <c r="AX94" s="607">
        <f t="shared" si="67"/>
        <v>0</v>
      </c>
      <c r="AY94" s="608"/>
      <c r="AZ94" s="607">
        <f t="shared" si="68"/>
        <v>-63.284450276723142</v>
      </c>
      <c r="BA94" s="608"/>
      <c r="BB94" s="607">
        <f t="shared" si="69"/>
        <v>0</v>
      </c>
      <c r="BC94" s="608"/>
      <c r="BD94" s="608">
        <f t="shared" si="62"/>
        <v>-63.284450276723142</v>
      </c>
      <c r="BF94" s="708">
        <f t="shared" si="63"/>
        <v>-87.87505384429538</v>
      </c>
      <c r="BH94" s="592">
        <f t="shared" si="66"/>
        <v>452</v>
      </c>
    </row>
    <row r="95" spans="1:60" ht="14.5">
      <c r="A95" s="592">
        <f t="shared" si="54"/>
        <v>453</v>
      </c>
      <c r="B95" s="624" t="s">
        <v>1487</v>
      </c>
      <c r="F95" s="711" t="s">
        <v>1404</v>
      </c>
      <c r="H95" s="719"/>
      <c r="J95" s="622">
        <v>82964.600265615823</v>
      </c>
      <c r="K95" s="608"/>
      <c r="L95" s="622">
        <v>49768.042533099309</v>
      </c>
      <c r="M95" s="608"/>
      <c r="N95" s="622">
        <v>33196.557732516521</v>
      </c>
      <c r="P95" s="709" t="s">
        <v>1405</v>
      </c>
      <c r="R95" s="608">
        <v>0</v>
      </c>
      <c r="S95" s="608"/>
      <c r="T95" s="608">
        <f t="shared" si="64"/>
        <v>33196.557732516521</v>
      </c>
      <c r="U95" s="608"/>
      <c r="V95" s="608">
        <v>0</v>
      </c>
      <c r="W95" s="608"/>
      <c r="X95" s="608">
        <f t="shared" si="65"/>
        <v>33196.557732516521</v>
      </c>
      <c r="Y95" s="608"/>
      <c r="Z95" s="609" t="s">
        <v>1406</v>
      </c>
      <c r="AA95" s="608"/>
      <c r="AB95" s="608">
        <v>0</v>
      </c>
      <c r="AC95" s="608"/>
      <c r="AD95" s="622">
        <v>8352.0613729507932</v>
      </c>
      <c r="AE95" s="608"/>
      <c r="AF95" s="608">
        <v>0</v>
      </c>
      <c r="AG95" s="608"/>
      <c r="AH95" s="609" t="s">
        <v>1407</v>
      </c>
      <c r="AI95" s="608"/>
      <c r="AJ95" s="607">
        <f t="shared" si="55"/>
        <v>0</v>
      </c>
      <c r="AK95" s="608"/>
      <c r="AL95" s="607">
        <f t="shared" si="56"/>
        <v>24844.496359565728</v>
      </c>
      <c r="AM95" s="608"/>
      <c r="AN95" s="607">
        <f t="shared" si="57"/>
        <v>0</v>
      </c>
      <c r="AO95" s="608"/>
      <c r="AP95" s="608">
        <f t="shared" si="58"/>
        <v>24844.496359565728</v>
      </c>
      <c r="AR95" s="608">
        <v>0</v>
      </c>
      <c r="AS95" s="608"/>
      <c r="AT95" s="797">
        <v>3394.3893860567359</v>
      </c>
      <c r="AU95" s="608"/>
      <c r="AV95" s="608">
        <v>0</v>
      </c>
      <c r="AW95" s="608"/>
      <c r="AX95" s="607">
        <f t="shared" si="67"/>
        <v>0</v>
      </c>
      <c r="AY95" s="608"/>
      <c r="AZ95" s="607">
        <f t="shared" si="68"/>
        <v>21450.106973508991</v>
      </c>
      <c r="BA95" s="608"/>
      <c r="BB95" s="607">
        <f t="shared" si="69"/>
        <v>0</v>
      </c>
      <c r="BC95" s="608"/>
      <c r="BD95" s="608">
        <f t="shared" si="62"/>
        <v>21450.106973508991</v>
      </c>
      <c r="BF95" s="708">
        <f t="shared" si="63"/>
        <v>29785.030872841449</v>
      </c>
      <c r="BH95" s="592">
        <f t="shared" si="66"/>
        <v>453</v>
      </c>
    </row>
    <row r="96" spans="1:60" ht="14.5">
      <c r="A96" s="592">
        <f t="shared" si="54"/>
        <v>454</v>
      </c>
      <c r="B96" s="624" t="s">
        <v>1488</v>
      </c>
      <c r="F96" s="711" t="s">
        <v>1404</v>
      </c>
      <c r="H96" s="719"/>
      <c r="J96" s="622">
        <v>-2.5537923876161601</v>
      </c>
      <c r="K96" s="608"/>
      <c r="L96" s="622">
        <v>-1.5613586211721953</v>
      </c>
      <c r="M96" s="608"/>
      <c r="N96" s="622">
        <v>-0.99243376644396486</v>
      </c>
      <c r="P96" s="709" t="s">
        <v>1405</v>
      </c>
      <c r="R96" s="608">
        <v>0</v>
      </c>
      <c r="S96" s="608"/>
      <c r="T96" s="608">
        <f t="shared" si="64"/>
        <v>-0.99243376644396486</v>
      </c>
      <c r="U96" s="608"/>
      <c r="V96" s="608">
        <v>0</v>
      </c>
      <c r="W96" s="608"/>
      <c r="X96" s="608">
        <f t="shared" si="65"/>
        <v>-0.99243376644396486</v>
      </c>
      <c r="Y96" s="608"/>
      <c r="Z96" s="609" t="s">
        <v>1406</v>
      </c>
      <c r="AA96" s="608"/>
      <c r="AB96" s="608">
        <v>0</v>
      </c>
      <c r="AC96" s="608"/>
      <c r="AD96" s="622">
        <v>-0.24969057914729637</v>
      </c>
      <c r="AE96" s="608"/>
      <c r="AF96" s="608">
        <v>0</v>
      </c>
      <c r="AG96" s="608"/>
      <c r="AH96" s="609" t="s">
        <v>1407</v>
      </c>
      <c r="AI96" s="608"/>
      <c r="AJ96" s="607">
        <f t="shared" si="55"/>
        <v>0</v>
      </c>
      <c r="AK96" s="608"/>
      <c r="AL96" s="607">
        <f t="shared" si="56"/>
        <v>-0.74274318729666855</v>
      </c>
      <c r="AM96" s="608"/>
      <c r="AN96" s="607">
        <f t="shared" si="57"/>
        <v>0</v>
      </c>
      <c r="AO96" s="608"/>
      <c r="AP96" s="608">
        <f t="shared" si="58"/>
        <v>-0.74274318729666855</v>
      </c>
      <c r="AR96" s="608">
        <v>0</v>
      </c>
      <c r="AS96" s="608"/>
      <c r="AT96" s="797">
        <v>-0.10147758904177001</v>
      </c>
      <c r="AU96" s="608"/>
      <c r="AV96" s="608">
        <v>0</v>
      </c>
      <c r="AW96" s="608"/>
      <c r="AX96" s="607">
        <f t="shared" si="67"/>
        <v>0</v>
      </c>
      <c r="AY96" s="608"/>
      <c r="AZ96" s="607">
        <f t="shared" si="68"/>
        <v>-0.64126559825489848</v>
      </c>
      <c r="BA96" s="608"/>
      <c r="BB96" s="607">
        <f t="shared" si="69"/>
        <v>0</v>
      </c>
      <c r="BC96" s="608"/>
      <c r="BD96" s="608">
        <f t="shared" si="62"/>
        <v>-0.64126559825489848</v>
      </c>
      <c r="BF96" s="708">
        <f t="shared" si="63"/>
        <v>-0.89044384092359297</v>
      </c>
      <c r="BH96" s="592">
        <f t="shared" si="66"/>
        <v>454</v>
      </c>
    </row>
    <row r="97" spans="1:60" ht="14.5">
      <c r="A97" s="592">
        <f t="shared" si="54"/>
        <v>455</v>
      </c>
      <c r="B97" s="624" t="s">
        <v>1489</v>
      </c>
      <c r="F97" s="711" t="s">
        <v>1404</v>
      </c>
      <c r="H97" s="719"/>
      <c r="J97" s="622">
        <v>50.62517850744976</v>
      </c>
      <c r="K97" s="608"/>
      <c r="L97" s="622">
        <v>30.560806869050776</v>
      </c>
      <c r="M97" s="608"/>
      <c r="N97" s="622">
        <v>20.064371638398988</v>
      </c>
      <c r="P97" s="709" t="s">
        <v>1405</v>
      </c>
      <c r="R97" s="608">
        <v>0</v>
      </c>
      <c r="S97" s="608"/>
      <c r="T97" s="608">
        <f t="shared" ref="T97" si="70">N97</f>
        <v>20.064371638398988</v>
      </c>
      <c r="U97" s="608"/>
      <c r="V97" s="608">
        <v>0</v>
      </c>
      <c r="W97" s="608"/>
      <c r="X97" s="608">
        <f t="shared" ref="X97" si="71">SUM(R97:V97)</f>
        <v>20.064371638398988</v>
      </c>
      <c r="Y97" s="608"/>
      <c r="Z97" s="609" t="s">
        <v>1406</v>
      </c>
      <c r="AA97" s="608"/>
      <c r="AB97" s="608">
        <v>0</v>
      </c>
      <c r="AC97" s="608"/>
      <c r="AD97" s="622">
        <v>5.0480795233011664</v>
      </c>
      <c r="AE97" s="608"/>
      <c r="AF97" s="608">
        <v>0</v>
      </c>
      <c r="AG97" s="608"/>
      <c r="AH97" s="609" t="s">
        <v>1407</v>
      </c>
      <c r="AI97" s="608"/>
      <c r="AJ97" s="607">
        <f t="shared" si="55"/>
        <v>0</v>
      </c>
      <c r="AK97" s="608"/>
      <c r="AL97" s="607">
        <f t="shared" si="56"/>
        <v>15.016292115097823</v>
      </c>
      <c r="AM97" s="608"/>
      <c r="AN97" s="607">
        <f t="shared" si="57"/>
        <v>0</v>
      </c>
      <c r="AO97" s="608"/>
      <c r="AP97" s="608">
        <f t="shared" si="58"/>
        <v>15.016292115097823</v>
      </c>
      <c r="AR97" s="608">
        <v>0</v>
      </c>
      <c r="AS97" s="608"/>
      <c r="AT97" s="797">
        <v>2.0516069972088764</v>
      </c>
      <c r="AU97" s="608"/>
      <c r="AV97" s="608">
        <v>0</v>
      </c>
      <c r="AW97" s="608"/>
      <c r="AX97" s="607">
        <f t="shared" si="67"/>
        <v>0</v>
      </c>
      <c r="AY97" s="608"/>
      <c r="AZ97" s="607">
        <f t="shared" si="68"/>
        <v>12.964685117888946</v>
      </c>
      <c r="BA97" s="608"/>
      <c r="BB97" s="607">
        <f t="shared" si="69"/>
        <v>0</v>
      </c>
      <c r="BC97" s="608"/>
      <c r="BD97" s="608">
        <f t="shared" si="62"/>
        <v>12.964685117888946</v>
      </c>
      <c r="BF97" s="708">
        <f t="shared" si="63"/>
        <v>18.002406560018198</v>
      </c>
      <c r="BH97" s="592">
        <f t="shared" si="66"/>
        <v>455</v>
      </c>
    </row>
    <row r="98" spans="1:60" ht="14.5">
      <c r="A98" s="592">
        <f t="shared" si="54"/>
        <v>456</v>
      </c>
      <c r="B98" s="623"/>
      <c r="F98" s="711"/>
      <c r="H98" s="719"/>
      <c r="J98" s="622"/>
      <c r="K98" s="608"/>
      <c r="L98" s="622"/>
      <c r="M98" s="608"/>
      <c r="N98" s="622"/>
      <c r="P98" s="710"/>
      <c r="R98" s="608">
        <v>0</v>
      </c>
      <c r="S98" s="608"/>
      <c r="T98" s="608">
        <f t="shared" ref="T98" si="72">N98</f>
        <v>0</v>
      </c>
      <c r="U98" s="608"/>
      <c r="V98" s="608">
        <v>0</v>
      </c>
      <c r="W98" s="608"/>
      <c r="X98" s="608">
        <f t="shared" ref="X98" si="73">SUM(R98:V98)</f>
        <v>0</v>
      </c>
      <c r="Y98" s="608"/>
      <c r="Z98" s="609"/>
      <c r="AA98" s="608"/>
      <c r="AB98" s="608">
        <v>0</v>
      </c>
      <c r="AC98" s="608"/>
      <c r="AD98" s="622"/>
      <c r="AE98" s="608"/>
      <c r="AF98" s="608">
        <v>0</v>
      </c>
      <c r="AG98" s="608"/>
      <c r="AH98" s="708"/>
      <c r="AI98" s="608"/>
      <c r="AJ98" s="607">
        <f t="shared" si="55"/>
        <v>0</v>
      </c>
      <c r="AK98" s="608"/>
      <c r="AL98" s="607">
        <f t="shared" si="56"/>
        <v>0</v>
      </c>
      <c r="AM98" s="608"/>
      <c r="AN98" s="607">
        <f t="shared" si="57"/>
        <v>0</v>
      </c>
      <c r="AO98" s="608"/>
      <c r="AP98" s="608">
        <f t="shared" si="58"/>
        <v>0</v>
      </c>
      <c r="AR98" s="608">
        <v>0</v>
      </c>
      <c r="AS98" s="608"/>
      <c r="AT98" s="622"/>
      <c r="AU98" s="608"/>
      <c r="AV98" s="608">
        <v>0</v>
      </c>
      <c r="AW98" s="608"/>
      <c r="AX98" s="607">
        <f t="shared" si="67"/>
        <v>0</v>
      </c>
      <c r="AY98" s="608"/>
      <c r="AZ98" s="607">
        <f t="shared" si="68"/>
        <v>0</v>
      </c>
      <c r="BA98" s="608"/>
      <c r="BB98" s="607">
        <f t="shared" si="69"/>
        <v>0</v>
      </c>
      <c r="BC98" s="608"/>
      <c r="BD98" s="608">
        <f t="shared" si="62"/>
        <v>0</v>
      </c>
      <c r="BF98" s="708">
        <f t="shared" si="63"/>
        <v>0</v>
      </c>
      <c r="BH98" s="592">
        <f t="shared" si="66"/>
        <v>456</v>
      </c>
    </row>
    <row r="99" spans="1:60" ht="14.5">
      <c r="A99" s="592">
        <f t="shared" si="54"/>
        <v>457</v>
      </c>
      <c r="B99" s="623"/>
      <c r="F99" s="711"/>
      <c r="H99" s="719"/>
      <c r="J99" s="622"/>
      <c r="K99" s="608"/>
      <c r="L99" s="622"/>
      <c r="M99" s="608"/>
      <c r="N99" s="622"/>
      <c r="P99" s="710"/>
      <c r="R99" s="608">
        <v>0</v>
      </c>
      <c r="S99" s="608"/>
      <c r="T99" s="608">
        <f t="shared" ref="T99" si="74">N99</f>
        <v>0</v>
      </c>
      <c r="U99" s="608"/>
      <c r="V99" s="608">
        <v>0</v>
      </c>
      <c r="W99" s="608"/>
      <c r="X99" s="608">
        <f t="shared" ref="X99:X104" si="75">SUM(R99:V99)</f>
        <v>0</v>
      </c>
      <c r="Y99" s="608"/>
      <c r="Z99" s="609"/>
      <c r="AA99" s="608"/>
      <c r="AB99" s="608">
        <v>0</v>
      </c>
      <c r="AC99" s="608"/>
      <c r="AD99" s="622"/>
      <c r="AE99" s="608"/>
      <c r="AF99" s="608">
        <v>0</v>
      </c>
      <c r="AG99" s="608"/>
      <c r="AH99" s="708"/>
      <c r="AI99" s="608"/>
      <c r="AJ99" s="607">
        <f t="shared" si="55"/>
        <v>0</v>
      </c>
      <c r="AK99" s="608"/>
      <c r="AL99" s="607">
        <f t="shared" si="56"/>
        <v>0</v>
      </c>
      <c r="AM99" s="608"/>
      <c r="AN99" s="607">
        <f t="shared" si="57"/>
        <v>0</v>
      </c>
      <c r="AO99" s="608"/>
      <c r="AP99" s="608">
        <f t="shared" si="58"/>
        <v>0</v>
      </c>
      <c r="AR99" s="608">
        <v>0</v>
      </c>
      <c r="AS99" s="608"/>
      <c r="AT99" s="622"/>
      <c r="AU99" s="608"/>
      <c r="AV99" s="608">
        <v>0</v>
      </c>
      <c r="AW99" s="608"/>
      <c r="AX99" s="607">
        <f t="shared" si="67"/>
        <v>0</v>
      </c>
      <c r="AY99" s="608"/>
      <c r="AZ99" s="607">
        <f t="shared" si="68"/>
        <v>0</v>
      </c>
      <c r="BA99" s="608"/>
      <c r="BB99" s="607">
        <f t="shared" si="69"/>
        <v>0</v>
      </c>
      <c r="BC99" s="608"/>
      <c r="BD99" s="608">
        <f t="shared" si="62"/>
        <v>0</v>
      </c>
      <c r="BF99" s="708">
        <f t="shared" si="63"/>
        <v>0</v>
      </c>
      <c r="BH99" s="592">
        <f t="shared" si="66"/>
        <v>457</v>
      </c>
    </row>
    <row r="100" spans="1:60" ht="14.5">
      <c r="A100" s="592"/>
      <c r="B100" s="597"/>
      <c r="F100" s="711"/>
      <c r="H100" s="708"/>
      <c r="J100" s="608"/>
      <c r="K100" s="608"/>
      <c r="L100" s="608"/>
      <c r="M100" s="608"/>
      <c r="N100" s="608"/>
      <c r="P100" s="710"/>
      <c r="R100" s="608"/>
      <c r="S100" s="608"/>
      <c r="T100" s="608"/>
      <c r="U100" s="608"/>
      <c r="V100" s="608"/>
      <c r="W100" s="608"/>
      <c r="X100" s="608"/>
      <c r="Y100" s="608"/>
      <c r="Z100" s="609"/>
      <c r="AA100" s="608"/>
      <c r="AB100" s="608"/>
      <c r="AC100" s="608"/>
      <c r="AD100" s="608"/>
      <c r="AE100" s="608"/>
      <c r="AF100" s="608"/>
      <c r="AG100" s="608"/>
      <c r="AH100" s="708"/>
      <c r="AI100" s="608"/>
      <c r="AJ100" s="608"/>
      <c r="AK100" s="608"/>
      <c r="AL100" s="608"/>
      <c r="AM100" s="608"/>
      <c r="AN100" s="608"/>
      <c r="AO100" s="608"/>
      <c r="AP100" s="608"/>
      <c r="AR100" s="608"/>
      <c r="AS100" s="608"/>
      <c r="AT100" s="608"/>
      <c r="AU100" s="608"/>
      <c r="AV100" s="608"/>
      <c r="AW100" s="608"/>
      <c r="AX100" s="608"/>
      <c r="AY100" s="608"/>
      <c r="AZ100" s="608"/>
      <c r="BA100" s="608"/>
      <c r="BB100" s="608"/>
      <c r="BC100" s="608"/>
      <c r="BD100" s="608"/>
      <c r="BF100" s="708"/>
      <c r="BH100" s="592"/>
    </row>
    <row r="101" spans="1:60" ht="14.5">
      <c r="A101" s="324" t="s">
        <v>100</v>
      </c>
      <c r="F101" s="711"/>
      <c r="H101" s="701"/>
      <c r="P101" s="710"/>
      <c r="X101" s="608"/>
      <c r="Z101" s="711"/>
      <c r="BH101" s="618" t="s">
        <v>100</v>
      </c>
    </row>
    <row r="102" spans="1:60" ht="14.5">
      <c r="A102" s="592">
        <v>500</v>
      </c>
      <c r="B102" s="590" t="s">
        <v>1490</v>
      </c>
      <c r="F102" s="711"/>
      <c r="H102" s="717">
        <f>ROUND(SUM(H103:H113),0)</f>
        <v>0</v>
      </c>
      <c r="J102" s="611">
        <f>ROUND(SUM(J103:J113),0)</f>
        <v>9730734</v>
      </c>
      <c r="K102" s="608"/>
      <c r="L102" s="611">
        <f>ROUND(SUM(L103:L113),0)</f>
        <v>5840030</v>
      </c>
      <c r="M102" s="608"/>
      <c r="N102" s="611">
        <f>ROUND(SUM(N103:N113),0)</f>
        <v>3890704</v>
      </c>
      <c r="O102" s="592"/>
      <c r="P102" s="710"/>
      <c r="Q102" s="592"/>
      <c r="R102" s="611">
        <f>ROUND(SUM(R103:R113),0)</f>
        <v>0</v>
      </c>
      <c r="S102" s="608"/>
      <c r="T102" s="611">
        <f>ROUND(SUM(T103:T113),0)</f>
        <v>0</v>
      </c>
      <c r="U102" s="608"/>
      <c r="V102" s="611">
        <f>ROUND(SUM(V103:V113),0)</f>
        <v>3890704</v>
      </c>
      <c r="W102" s="608"/>
      <c r="X102" s="611">
        <f>ROUND(SUM(X103:X113),0)</f>
        <v>3890704</v>
      </c>
      <c r="Y102" s="608"/>
      <c r="Z102" s="609"/>
      <c r="AA102" s="608"/>
      <c r="AB102" s="611">
        <f>SUM(AB103:AB113)</f>
        <v>0</v>
      </c>
      <c r="AC102" s="608"/>
      <c r="AD102" s="611">
        <f>SUM(AD103:AD113)</f>
        <v>0</v>
      </c>
      <c r="AE102" s="608"/>
      <c r="AF102" s="611">
        <f>SUM(AF103:AF113)</f>
        <v>-201654.6052043424</v>
      </c>
      <c r="AG102" s="608"/>
      <c r="AH102" s="708"/>
      <c r="AI102" s="608"/>
      <c r="AJ102" s="611">
        <f>SUM(AJ103:AJ113)</f>
        <v>0</v>
      </c>
      <c r="AK102" s="608"/>
      <c r="AL102" s="611">
        <f>SUM(AL103:AL113)</f>
        <v>0</v>
      </c>
      <c r="AM102" s="608"/>
      <c r="AN102" s="611">
        <f>SUM(AN103:AN113)</f>
        <v>4092358.741047631</v>
      </c>
      <c r="AO102" s="608"/>
      <c r="AP102" s="611">
        <f>SUM(AP103:AP113)</f>
        <v>4092358.741047631</v>
      </c>
      <c r="AR102" s="611">
        <f>SUM(AR103:AR113)</f>
        <v>0</v>
      </c>
      <c r="AS102" s="608"/>
      <c r="AT102" s="611">
        <f>SUM(AT103:AT113)</f>
        <v>0</v>
      </c>
      <c r="AU102" s="608"/>
      <c r="AV102" s="611">
        <f>SUM(AV103:AV113)</f>
        <v>559120.1093791672</v>
      </c>
      <c r="AW102" s="608"/>
      <c r="AX102" s="611">
        <f>SUM(AX103:AX113)</f>
        <v>0</v>
      </c>
      <c r="AY102" s="608"/>
      <c r="AZ102" s="611">
        <f>SUM(AZ103:AZ113)</f>
        <v>0</v>
      </c>
      <c r="BA102" s="608"/>
      <c r="BB102" s="611">
        <f>SUM(BB103:BB113)</f>
        <v>3533238.6316684629</v>
      </c>
      <c r="BC102" s="608"/>
      <c r="BD102" s="611">
        <f>SUM(BD103:BD113)</f>
        <v>3533238.6316684629</v>
      </c>
      <c r="BF102" s="717">
        <f>ROUND(SUM(BF103:BF113),0)</f>
        <v>4906158</v>
      </c>
      <c r="BH102" s="592">
        <f t="shared" ref="BH102:BH113" si="76">A102</f>
        <v>500</v>
      </c>
    </row>
    <row r="103" spans="1:60" ht="14.5">
      <c r="A103" s="592">
        <f t="shared" ref="A103:A107" si="77">A102+1</f>
        <v>501</v>
      </c>
      <c r="B103" s="637" t="s">
        <v>1491</v>
      </c>
      <c r="F103" s="711" t="s">
        <v>1420</v>
      </c>
      <c r="H103" s="719"/>
      <c r="J103" s="622">
        <v>5449227.7939999998</v>
      </c>
      <c r="K103" s="608"/>
      <c r="L103" s="622">
        <v>3269536.6763999998</v>
      </c>
      <c r="M103" s="608"/>
      <c r="N103" s="622">
        <v>2179691.1176</v>
      </c>
      <c r="P103" s="709" t="s">
        <v>1415</v>
      </c>
      <c r="R103" s="608">
        <v>0</v>
      </c>
      <c r="S103" s="608"/>
      <c r="T103" s="608">
        <v>0</v>
      </c>
      <c r="U103" s="608"/>
      <c r="V103" s="608">
        <f>+N103</f>
        <v>2179691.1176</v>
      </c>
      <c r="W103" s="608"/>
      <c r="X103" s="608">
        <f t="shared" si="75"/>
        <v>2179691.1176</v>
      </c>
      <c r="Y103" s="608"/>
      <c r="Z103" s="609" t="s">
        <v>1492</v>
      </c>
      <c r="AA103" s="608"/>
      <c r="AB103" s="608">
        <v>0</v>
      </c>
      <c r="AC103" s="608"/>
      <c r="AD103" s="608">
        <v>0</v>
      </c>
      <c r="AE103" s="608"/>
      <c r="AF103" s="622">
        <v>1585728</v>
      </c>
      <c r="AG103" s="608"/>
      <c r="AH103" s="609" t="s">
        <v>1416</v>
      </c>
      <c r="AI103" s="608"/>
      <c r="AJ103" s="607">
        <f t="shared" ref="AJ103:AJ113" si="78">+R103-AB103</f>
        <v>0</v>
      </c>
      <c r="AK103" s="608"/>
      <c r="AL103" s="607">
        <f t="shared" ref="AL103:AL113" si="79">+T103-AD103</f>
        <v>0</v>
      </c>
      <c r="AM103" s="608"/>
      <c r="AN103" s="607">
        <f t="shared" ref="AN103:AN113" si="80">+V103-AF103</f>
        <v>593963.1176</v>
      </c>
      <c r="AO103" s="608"/>
      <c r="AP103" s="608">
        <f t="shared" ref="AP103:AP113" si="81">SUM(AJ103:AN103)</f>
        <v>593963.1176</v>
      </c>
      <c r="AR103" s="608">
        <v>0</v>
      </c>
      <c r="AS103" s="608"/>
      <c r="AT103" s="608">
        <v>0</v>
      </c>
      <c r="AU103" s="608"/>
      <c r="AV103" s="797">
        <v>81150.389220770798</v>
      </c>
      <c r="AW103" s="608"/>
      <c r="AX103" s="607">
        <f t="shared" ref="AX103:AX113" si="82">+AJ103-AR103</f>
        <v>0</v>
      </c>
      <c r="AY103" s="608"/>
      <c r="AZ103" s="607">
        <f t="shared" ref="AZ103:AZ113" si="83">+AL103-AT103</f>
        <v>0</v>
      </c>
      <c r="BA103" s="608"/>
      <c r="BB103" s="607">
        <f t="shared" ref="BB103:BB113" si="84">+AN103-AV103</f>
        <v>512812.7283792292</v>
      </c>
      <c r="BC103" s="608"/>
      <c r="BD103" s="608">
        <f>SUM(AX103:BB103)</f>
        <v>512812.7283792292</v>
      </c>
      <c r="BF103" s="708">
        <f t="shared" ref="BF103:BF111" si="85">+BD103*$BF$9</f>
        <v>712077.70504944585</v>
      </c>
      <c r="BH103" s="592">
        <f t="shared" si="76"/>
        <v>501</v>
      </c>
    </row>
    <row r="104" spans="1:60" ht="14.5">
      <c r="A104" s="592">
        <f t="shared" si="77"/>
        <v>502</v>
      </c>
      <c r="B104" s="637" t="s">
        <v>1127</v>
      </c>
      <c r="F104" s="711" t="s">
        <v>1420</v>
      </c>
      <c r="H104" s="719"/>
      <c r="J104" s="622">
        <v>26635870</v>
      </c>
      <c r="K104" s="608"/>
      <c r="L104" s="622">
        <v>15981522</v>
      </c>
      <c r="M104" s="608"/>
      <c r="N104" s="622">
        <v>10654348</v>
      </c>
      <c r="P104" s="709" t="s">
        <v>1415</v>
      </c>
      <c r="R104" s="608">
        <v>0</v>
      </c>
      <c r="S104" s="608"/>
      <c r="T104" s="608">
        <v>0</v>
      </c>
      <c r="U104" s="608"/>
      <c r="V104" s="608">
        <f>+N104</f>
        <v>10654348</v>
      </c>
      <c r="W104" s="608"/>
      <c r="X104" s="608">
        <f t="shared" si="75"/>
        <v>10654348</v>
      </c>
      <c r="Y104" s="608"/>
      <c r="Z104" s="609" t="s">
        <v>1492</v>
      </c>
      <c r="AA104" s="608"/>
      <c r="AB104" s="608">
        <v>0</v>
      </c>
      <c r="AC104" s="608"/>
      <c r="AD104" s="608">
        <v>0</v>
      </c>
      <c r="AE104" s="608"/>
      <c r="AF104" s="622">
        <v>-2908523.982036205</v>
      </c>
      <c r="AG104" s="608"/>
      <c r="AH104" s="609" t="s">
        <v>1416</v>
      </c>
      <c r="AI104" s="608"/>
      <c r="AJ104" s="607">
        <f t="shared" si="78"/>
        <v>0</v>
      </c>
      <c r="AK104" s="608"/>
      <c r="AL104" s="607">
        <f t="shared" si="79"/>
        <v>0</v>
      </c>
      <c r="AM104" s="608"/>
      <c r="AN104" s="607">
        <f t="shared" si="80"/>
        <v>13562871.982036205</v>
      </c>
      <c r="AO104" s="608"/>
      <c r="AP104" s="608">
        <f t="shared" si="81"/>
        <v>13562871.982036205</v>
      </c>
      <c r="AR104" s="608">
        <v>0</v>
      </c>
      <c r="AS104" s="608"/>
      <c r="AT104" s="608">
        <v>0</v>
      </c>
      <c r="AU104" s="608"/>
      <c r="AV104" s="797">
        <v>1853032.8823729299</v>
      </c>
      <c r="AW104" s="608"/>
      <c r="AX104" s="607">
        <f t="shared" si="82"/>
        <v>0</v>
      </c>
      <c r="AY104" s="608"/>
      <c r="AZ104" s="607">
        <f t="shared" si="83"/>
        <v>0</v>
      </c>
      <c r="BA104" s="608"/>
      <c r="BB104" s="607">
        <f t="shared" si="84"/>
        <v>11709839.099663274</v>
      </c>
      <c r="BC104" s="608"/>
      <c r="BD104" s="608">
        <f t="shared" ref="BD104" si="86">SUM(AX104:BB104)</f>
        <v>11709839.099663274</v>
      </c>
      <c r="BF104" s="708">
        <f t="shared" si="85"/>
        <v>16259961.758242946</v>
      </c>
      <c r="BH104" s="592">
        <f t="shared" si="76"/>
        <v>502</v>
      </c>
    </row>
    <row r="105" spans="1:60" ht="14.5">
      <c r="A105" s="592" t="s">
        <v>1493</v>
      </c>
      <c r="B105" s="637" t="s">
        <v>1494</v>
      </c>
      <c r="F105" s="711" t="s">
        <v>1420</v>
      </c>
      <c r="H105" s="719"/>
      <c r="J105" s="622">
        <v>-26601023.383000001</v>
      </c>
      <c r="K105" s="608"/>
      <c r="L105" s="622">
        <v>-15960614.0298</v>
      </c>
      <c r="M105" s="608"/>
      <c r="N105" s="622">
        <v>-10640409.3532</v>
      </c>
      <c r="P105" s="709" t="s">
        <v>1415</v>
      </c>
      <c r="R105" s="608">
        <v>0</v>
      </c>
      <c r="S105" s="608"/>
      <c r="T105" s="608">
        <v>0</v>
      </c>
      <c r="U105" s="608"/>
      <c r="V105" s="608">
        <f>+N105</f>
        <v>-10640409.3532</v>
      </c>
      <c r="W105" s="608"/>
      <c r="X105" s="608">
        <f t="shared" ref="X105" si="87">SUM(R105:V105)</f>
        <v>-10640409.3532</v>
      </c>
      <c r="Y105" s="608"/>
      <c r="Z105" s="609" t="s">
        <v>1492</v>
      </c>
      <c r="AA105" s="608"/>
      <c r="AB105" s="608">
        <v>0</v>
      </c>
      <c r="AC105" s="608"/>
      <c r="AD105" s="608">
        <v>0</v>
      </c>
      <c r="AE105" s="608"/>
      <c r="AF105" s="622">
        <v>-200343.29518555105</v>
      </c>
      <c r="AG105" s="608"/>
      <c r="AH105" s="609" t="s">
        <v>1416</v>
      </c>
      <c r="AI105" s="608"/>
      <c r="AJ105" s="607">
        <f t="shared" ref="AJ105" si="88">+R105-AB105</f>
        <v>0</v>
      </c>
      <c r="AK105" s="608"/>
      <c r="AL105" s="607">
        <f t="shared" ref="AL105" si="89">+T105-AD105</f>
        <v>0</v>
      </c>
      <c r="AM105" s="608"/>
      <c r="AN105" s="607">
        <f t="shared" ref="AN105" si="90">+V105-AF105</f>
        <v>-10440066.058014449</v>
      </c>
      <c r="AO105" s="608"/>
      <c r="AP105" s="608">
        <f t="shared" ref="AP105" si="91">SUM(AJ105:AN105)</f>
        <v>-10440066.058014449</v>
      </c>
      <c r="AR105" s="608">
        <v>0</v>
      </c>
      <c r="AS105" s="608"/>
      <c r="AT105" s="608">
        <v>0</v>
      </c>
      <c r="AU105" s="608"/>
      <c r="AV105" s="797">
        <v>-1426378.2571471201</v>
      </c>
      <c r="AW105" s="608"/>
      <c r="AX105" s="607">
        <f t="shared" ref="AX105:AX106" si="92">+AJ105-AR105</f>
        <v>0</v>
      </c>
      <c r="AY105" s="608"/>
      <c r="AZ105" s="607">
        <f t="shared" ref="AZ105:AZ106" si="93">+AL105-AT105</f>
        <v>0</v>
      </c>
      <c r="BA105" s="608"/>
      <c r="BB105" s="607">
        <f t="shared" ref="BB105:BB106" si="94">+AN105-AV105</f>
        <v>-9013687.8008673284</v>
      </c>
      <c r="BC105" s="608"/>
      <c r="BD105" s="608">
        <f t="shared" ref="BD105:BD106" si="95">SUM(AX105:BB105)</f>
        <v>-9013687.8008673284</v>
      </c>
      <c r="BF105" s="708">
        <f t="shared" ref="BF105:BF106" si="96">+BD105*$BF$9</f>
        <v>-12516159.93144246</v>
      </c>
      <c r="BH105" s="592" t="s">
        <v>1493</v>
      </c>
    </row>
    <row r="106" spans="1:60" ht="14.5">
      <c r="A106" s="592">
        <f>A104+1</f>
        <v>503</v>
      </c>
      <c r="B106" s="624" t="s">
        <v>1495</v>
      </c>
      <c r="F106" s="711" t="s">
        <v>1404</v>
      </c>
      <c r="H106" s="719"/>
      <c r="J106" s="622">
        <v>-47739682.848362915</v>
      </c>
      <c r="K106" s="608"/>
      <c r="L106" s="622">
        <v>-28643809.713524446</v>
      </c>
      <c r="M106" s="608"/>
      <c r="N106" s="622">
        <v>-19095873.134838477</v>
      </c>
      <c r="P106" s="709" t="s">
        <v>1405</v>
      </c>
      <c r="R106" s="608">
        <v>0</v>
      </c>
      <c r="S106" s="608"/>
      <c r="T106" s="608">
        <v>0</v>
      </c>
      <c r="U106" s="608"/>
      <c r="V106" s="608">
        <f>N106</f>
        <v>-19095873.134838477</v>
      </c>
      <c r="W106" s="608"/>
      <c r="X106" s="608">
        <f>SUM(R106:V106)</f>
        <v>-19095873.134838477</v>
      </c>
      <c r="Y106" s="608"/>
      <c r="Z106" s="609" t="s">
        <v>1492</v>
      </c>
      <c r="AA106" s="608"/>
      <c r="AB106" s="608">
        <v>0</v>
      </c>
      <c r="AC106" s="608"/>
      <c r="AD106" s="608">
        <v>0</v>
      </c>
      <c r="AE106" s="608"/>
      <c r="AF106" s="622">
        <v>-14869651.013005976</v>
      </c>
      <c r="AG106" s="608"/>
      <c r="AH106" s="609" t="s">
        <v>1407</v>
      </c>
      <c r="AI106" s="608"/>
      <c r="AJ106" s="607">
        <f t="shared" si="78"/>
        <v>0</v>
      </c>
      <c r="AK106" s="608"/>
      <c r="AL106" s="607">
        <f t="shared" si="79"/>
        <v>0</v>
      </c>
      <c r="AM106" s="608"/>
      <c r="AN106" s="607">
        <f t="shared" si="80"/>
        <v>-4226222.1218325011</v>
      </c>
      <c r="AO106" s="608"/>
      <c r="AP106" s="608">
        <f t="shared" si="81"/>
        <v>-4226222.1218325011</v>
      </c>
      <c r="AR106" s="608">
        <v>0</v>
      </c>
      <c r="AS106" s="608"/>
      <c r="AT106" s="608">
        <v>0</v>
      </c>
      <c r="AU106" s="608"/>
      <c r="AV106" s="797">
        <v>-577409.31053098012</v>
      </c>
      <c r="AW106" s="608"/>
      <c r="AX106" s="607">
        <f t="shared" si="92"/>
        <v>0</v>
      </c>
      <c r="AY106" s="608"/>
      <c r="AZ106" s="607">
        <f t="shared" si="93"/>
        <v>0</v>
      </c>
      <c r="BA106" s="608"/>
      <c r="BB106" s="607">
        <f t="shared" si="94"/>
        <v>-3648812.811301521</v>
      </c>
      <c r="BC106" s="608"/>
      <c r="BD106" s="608">
        <f t="shared" si="95"/>
        <v>-3648812.811301521</v>
      </c>
      <c r="BF106" s="708">
        <f t="shared" si="96"/>
        <v>-5066641.5029097823</v>
      </c>
      <c r="BH106" s="592">
        <f t="shared" si="76"/>
        <v>503</v>
      </c>
    </row>
    <row r="107" spans="1:60" ht="14.5">
      <c r="A107" s="592">
        <f t="shared" si="77"/>
        <v>504</v>
      </c>
      <c r="B107" s="624" t="s">
        <v>1496</v>
      </c>
      <c r="F107" s="711" t="s">
        <v>1404</v>
      </c>
      <c r="H107" s="719"/>
      <c r="J107" s="622">
        <v>-103799.5006187651</v>
      </c>
      <c r="K107" s="608"/>
      <c r="L107" s="622">
        <v>-62279.567696489263</v>
      </c>
      <c r="M107" s="608"/>
      <c r="N107" s="622">
        <v>-41519.932922275839</v>
      </c>
      <c r="P107" s="709" t="s">
        <v>1405</v>
      </c>
      <c r="R107" s="608">
        <v>0</v>
      </c>
      <c r="S107" s="608"/>
      <c r="T107" s="608">
        <v>0</v>
      </c>
      <c r="U107" s="608"/>
      <c r="V107" s="608">
        <f>N107</f>
        <v>-41519.932922275839</v>
      </c>
      <c r="W107" s="608"/>
      <c r="X107" s="608">
        <f>SUM(R107:V107)</f>
        <v>-41519.932922275839</v>
      </c>
      <c r="Y107" s="608"/>
      <c r="Z107" s="609" t="s">
        <v>1492</v>
      </c>
      <c r="AA107" s="608"/>
      <c r="AB107" s="608">
        <v>0</v>
      </c>
      <c r="AC107" s="608"/>
      <c r="AD107" s="608">
        <v>0</v>
      </c>
      <c r="AE107" s="608"/>
      <c r="AF107" s="622">
        <v>-32330.907745260389</v>
      </c>
      <c r="AG107" s="608"/>
      <c r="AH107" s="609" t="s">
        <v>1407</v>
      </c>
      <c r="AI107" s="608"/>
      <c r="AJ107" s="607">
        <f t="shared" si="78"/>
        <v>0</v>
      </c>
      <c r="AK107" s="608"/>
      <c r="AL107" s="607">
        <f t="shared" si="79"/>
        <v>0</v>
      </c>
      <c r="AM107" s="608"/>
      <c r="AN107" s="607">
        <f t="shared" si="80"/>
        <v>-9189.02517701545</v>
      </c>
      <c r="AO107" s="608"/>
      <c r="AP107" s="608">
        <f t="shared" si="81"/>
        <v>-9189.02517701545</v>
      </c>
      <c r="AR107" s="608">
        <v>0</v>
      </c>
      <c r="AS107" s="608"/>
      <c r="AT107" s="608">
        <v>0</v>
      </c>
      <c r="AU107" s="608"/>
      <c r="AV107" s="797">
        <v>-1255.4542896604037</v>
      </c>
      <c r="AW107" s="608"/>
      <c r="AX107" s="607">
        <f t="shared" si="82"/>
        <v>0</v>
      </c>
      <c r="AY107" s="608"/>
      <c r="AZ107" s="607">
        <f t="shared" si="83"/>
        <v>0</v>
      </c>
      <c r="BA107" s="608"/>
      <c r="BB107" s="607">
        <f t="shared" si="84"/>
        <v>-7933.5708873550466</v>
      </c>
      <c r="BC107" s="608"/>
      <c r="BD107" s="608">
        <f t="shared" ref="BD107:BD113" si="97">SUM(AX107:BB107)</f>
        <v>-7933.5708873550466</v>
      </c>
      <c r="BF107" s="708">
        <f t="shared" si="85"/>
        <v>-11016.339177402711</v>
      </c>
      <c r="BH107" s="592">
        <f t="shared" si="76"/>
        <v>504</v>
      </c>
    </row>
    <row r="108" spans="1:60" ht="14.5">
      <c r="A108" s="592">
        <f>+A107+1</f>
        <v>505</v>
      </c>
      <c r="B108" s="624" t="s">
        <v>1497</v>
      </c>
      <c r="F108" s="711" t="s">
        <v>1404</v>
      </c>
      <c r="H108" s="719"/>
      <c r="J108" s="622">
        <v>53593752.500699803</v>
      </c>
      <c r="K108" s="608"/>
      <c r="L108" s="622">
        <v>32156251.730074722</v>
      </c>
      <c r="M108" s="608"/>
      <c r="N108" s="622">
        <v>21437500.770625081</v>
      </c>
      <c r="P108" s="709" t="s">
        <v>1405</v>
      </c>
      <c r="R108" s="608">
        <v>0</v>
      </c>
      <c r="S108" s="608"/>
      <c r="T108" s="608">
        <v>0</v>
      </c>
      <c r="U108" s="608"/>
      <c r="V108" s="608">
        <f>N108</f>
        <v>21437500.770625081</v>
      </c>
      <c r="W108" s="608"/>
      <c r="X108" s="608">
        <f>SUM(R108:V108)</f>
        <v>21437500.770625081</v>
      </c>
      <c r="Y108" s="608"/>
      <c r="Z108" s="609" t="s">
        <v>1492</v>
      </c>
      <c r="AA108" s="608"/>
      <c r="AB108" s="608">
        <v>0</v>
      </c>
      <c r="AC108" s="608"/>
      <c r="AD108" s="608">
        <v>0</v>
      </c>
      <c r="AE108" s="608"/>
      <c r="AF108" s="622">
        <v>16693039.003735397</v>
      </c>
      <c r="AG108" s="608"/>
      <c r="AH108" s="609" t="s">
        <v>1407</v>
      </c>
      <c r="AI108" s="608"/>
      <c r="AJ108" s="607">
        <f t="shared" si="78"/>
        <v>0</v>
      </c>
      <c r="AK108" s="608"/>
      <c r="AL108" s="607">
        <f t="shared" si="79"/>
        <v>0</v>
      </c>
      <c r="AM108" s="608"/>
      <c r="AN108" s="607">
        <f t="shared" si="80"/>
        <v>4744461.7668896839</v>
      </c>
      <c r="AO108" s="608"/>
      <c r="AP108" s="608">
        <f t="shared" si="81"/>
        <v>4744461.7668896839</v>
      </c>
      <c r="AR108" s="608">
        <v>0</v>
      </c>
      <c r="AS108" s="608"/>
      <c r="AT108" s="608">
        <v>0</v>
      </c>
      <c r="AU108" s="608"/>
      <c r="AV108" s="797">
        <v>648214.01210983109</v>
      </c>
      <c r="AW108" s="608"/>
      <c r="AX108" s="607">
        <f t="shared" si="82"/>
        <v>0</v>
      </c>
      <c r="AY108" s="608"/>
      <c r="AZ108" s="607">
        <f t="shared" si="83"/>
        <v>0</v>
      </c>
      <c r="BA108" s="608"/>
      <c r="BB108" s="607">
        <f t="shared" si="84"/>
        <v>4096247.7547798529</v>
      </c>
      <c r="BC108" s="608"/>
      <c r="BD108" s="608">
        <f t="shared" si="97"/>
        <v>4096247.7547798529</v>
      </c>
      <c r="BF108" s="708">
        <f t="shared" si="85"/>
        <v>5687937.407007088</v>
      </c>
      <c r="BH108" s="592">
        <f t="shared" si="76"/>
        <v>505</v>
      </c>
    </row>
    <row r="109" spans="1:60" ht="14.5">
      <c r="A109" s="592">
        <f>+A108+1</f>
        <v>506</v>
      </c>
      <c r="B109" s="624" t="s">
        <v>1498</v>
      </c>
      <c r="F109" s="711" t="s">
        <v>1404</v>
      </c>
      <c r="H109" s="719"/>
      <c r="J109" s="622">
        <v>4213331.3249256369</v>
      </c>
      <c r="K109" s="608"/>
      <c r="L109" s="622">
        <v>2531567.1823000652</v>
      </c>
      <c r="M109" s="608"/>
      <c r="N109" s="622">
        <v>1681764.1426255719</v>
      </c>
      <c r="P109" s="709" t="s">
        <v>1405</v>
      </c>
      <c r="R109" s="608">
        <v>0</v>
      </c>
      <c r="S109" s="608"/>
      <c r="T109" s="608">
        <v>0</v>
      </c>
      <c r="U109" s="608"/>
      <c r="V109" s="608">
        <f>N109</f>
        <v>1681764.1426255719</v>
      </c>
      <c r="W109" s="608"/>
      <c r="X109" s="608">
        <f>SUM(R109:V109)</f>
        <v>1681764.1426255719</v>
      </c>
      <c r="Y109" s="608"/>
      <c r="Z109" s="609" t="s">
        <v>1492</v>
      </c>
      <c r="AA109" s="608"/>
      <c r="AB109" s="608">
        <v>0</v>
      </c>
      <c r="AC109" s="608"/>
      <c r="AD109" s="608">
        <v>0</v>
      </c>
      <c r="AE109" s="608"/>
      <c r="AF109" s="622">
        <v>1309562.8416909771</v>
      </c>
      <c r="AG109" s="608"/>
      <c r="AH109" s="609" t="s">
        <v>1407</v>
      </c>
      <c r="AI109" s="608"/>
      <c r="AJ109" s="607">
        <f t="shared" si="78"/>
        <v>0</v>
      </c>
      <c r="AK109" s="608"/>
      <c r="AL109" s="607">
        <f t="shared" si="79"/>
        <v>0</v>
      </c>
      <c r="AM109" s="608"/>
      <c r="AN109" s="607">
        <f t="shared" si="80"/>
        <v>372201.30093459482</v>
      </c>
      <c r="AO109" s="608"/>
      <c r="AP109" s="608">
        <f t="shared" si="81"/>
        <v>372201.30093459482</v>
      </c>
      <c r="AR109" s="608">
        <v>0</v>
      </c>
      <c r="AS109" s="608"/>
      <c r="AT109" s="608">
        <v>0</v>
      </c>
      <c r="AU109" s="608"/>
      <c r="AV109" s="797">
        <v>50852.153615198913</v>
      </c>
      <c r="AW109" s="608"/>
      <c r="AX109" s="607">
        <f t="shared" si="82"/>
        <v>0</v>
      </c>
      <c r="AY109" s="608"/>
      <c r="AZ109" s="607">
        <f t="shared" si="83"/>
        <v>0</v>
      </c>
      <c r="BA109" s="608"/>
      <c r="BB109" s="607">
        <f t="shared" si="84"/>
        <v>321349.14731939591</v>
      </c>
      <c r="BC109" s="608"/>
      <c r="BD109" s="608">
        <f t="shared" si="97"/>
        <v>321349.14731939591</v>
      </c>
      <c r="BF109" s="708">
        <f t="shared" si="85"/>
        <v>446216.62193527567</v>
      </c>
      <c r="BH109" s="592">
        <f t="shared" si="76"/>
        <v>506</v>
      </c>
    </row>
    <row r="110" spans="1:60" ht="14.5">
      <c r="A110" s="592">
        <f t="shared" ref="A110:A112" si="98">+A109+1</f>
        <v>507</v>
      </c>
      <c r="B110" s="624" t="s">
        <v>1499</v>
      </c>
      <c r="F110" s="711" t="s">
        <v>1404</v>
      </c>
      <c r="H110" s="719"/>
      <c r="J110" s="622">
        <v>9122.9710945983843</v>
      </c>
      <c r="K110" s="608"/>
      <c r="L110" s="622">
        <v>5504.3275068897183</v>
      </c>
      <c r="M110" s="608"/>
      <c r="N110" s="622">
        <v>3618.643587708666</v>
      </c>
      <c r="P110" s="709" t="s">
        <v>1405</v>
      </c>
      <c r="R110" s="608">
        <v>0</v>
      </c>
      <c r="S110" s="608"/>
      <c r="T110" s="608">
        <v>0</v>
      </c>
      <c r="U110" s="608"/>
      <c r="V110" s="608">
        <f t="shared" ref="V110:V111" si="99">N110</f>
        <v>3618.643587708666</v>
      </c>
      <c r="W110" s="608"/>
      <c r="X110" s="608">
        <f t="shared" ref="X110:X111" si="100">SUM(R110:V110)</f>
        <v>3618.643587708666</v>
      </c>
      <c r="Y110" s="608"/>
      <c r="Z110" s="609" t="s">
        <v>1492</v>
      </c>
      <c r="AA110" s="608"/>
      <c r="AB110" s="608">
        <v>0</v>
      </c>
      <c r="AC110" s="608"/>
      <c r="AD110" s="608">
        <v>0</v>
      </c>
      <c r="AE110" s="608"/>
      <c r="AF110" s="622">
        <v>2817.7798893894301</v>
      </c>
      <c r="AG110" s="608"/>
      <c r="AH110" s="609" t="s">
        <v>1407</v>
      </c>
      <c r="AI110" s="608"/>
      <c r="AJ110" s="607">
        <f t="shared" si="78"/>
        <v>0</v>
      </c>
      <c r="AK110" s="608"/>
      <c r="AL110" s="607">
        <f t="shared" si="79"/>
        <v>0</v>
      </c>
      <c r="AM110" s="608"/>
      <c r="AN110" s="607">
        <f t="shared" si="80"/>
        <v>800.86369831923594</v>
      </c>
      <c r="AO110" s="608"/>
      <c r="AP110" s="608">
        <f t="shared" si="81"/>
        <v>800.86369831923594</v>
      </c>
      <c r="AR110" s="608">
        <v>0</v>
      </c>
      <c r="AS110" s="608"/>
      <c r="AT110" s="608">
        <v>0</v>
      </c>
      <c r="AU110" s="608"/>
      <c r="AV110" s="797">
        <v>109.41832741987818</v>
      </c>
      <c r="AW110" s="608"/>
      <c r="AX110" s="607">
        <f t="shared" si="82"/>
        <v>0</v>
      </c>
      <c r="AY110" s="608"/>
      <c r="AZ110" s="607">
        <f t="shared" si="83"/>
        <v>0</v>
      </c>
      <c r="BA110" s="608"/>
      <c r="BB110" s="607">
        <f t="shared" si="84"/>
        <v>691.44537089935773</v>
      </c>
      <c r="BC110" s="608"/>
      <c r="BD110" s="608">
        <f t="shared" si="97"/>
        <v>691.44537089935773</v>
      </c>
      <c r="BF110" s="708">
        <f t="shared" si="85"/>
        <v>960.12209843779704</v>
      </c>
      <c r="BH110" s="592">
        <f t="shared" si="76"/>
        <v>507</v>
      </c>
    </row>
    <row r="111" spans="1:60" ht="14.5">
      <c r="A111" s="592">
        <f t="shared" si="98"/>
        <v>508</v>
      </c>
      <c r="B111" s="624" t="s">
        <v>1500</v>
      </c>
      <c r="F111" s="711" t="s">
        <v>1404</v>
      </c>
      <c r="H111" s="719"/>
      <c r="J111" s="622">
        <v>-5726065.1655639941</v>
      </c>
      <c r="K111" s="608"/>
      <c r="L111" s="622">
        <v>-3437649.0479296735</v>
      </c>
      <c r="M111" s="608"/>
      <c r="N111" s="622">
        <v>-2288416.1176343206</v>
      </c>
      <c r="P111" s="709" t="s">
        <v>1405</v>
      </c>
      <c r="R111" s="608">
        <v>0</v>
      </c>
      <c r="S111" s="608"/>
      <c r="T111" s="608">
        <v>0</v>
      </c>
      <c r="U111" s="608"/>
      <c r="V111" s="608">
        <f t="shared" si="99"/>
        <v>-2288416.1176343206</v>
      </c>
      <c r="W111" s="608"/>
      <c r="X111" s="608">
        <f t="shared" si="100"/>
        <v>-2288416.1176343206</v>
      </c>
      <c r="Y111" s="608"/>
      <c r="Z111" s="609" t="s">
        <v>1492</v>
      </c>
      <c r="AA111" s="608"/>
      <c r="AB111" s="608">
        <v>0</v>
      </c>
      <c r="AC111" s="608"/>
      <c r="AD111" s="608">
        <v>0</v>
      </c>
      <c r="AE111" s="608"/>
      <c r="AF111" s="622">
        <v>-1781953.0325471135</v>
      </c>
      <c r="AG111" s="608"/>
      <c r="AH111" s="609" t="s">
        <v>1407</v>
      </c>
      <c r="AI111" s="608"/>
      <c r="AJ111" s="607">
        <f t="shared" si="78"/>
        <v>0</v>
      </c>
      <c r="AK111" s="608"/>
      <c r="AL111" s="607">
        <f t="shared" si="79"/>
        <v>0</v>
      </c>
      <c r="AM111" s="608"/>
      <c r="AN111" s="607">
        <f t="shared" si="80"/>
        <v>-506463.08508720715</v>
      </c>
      <c r="AO111" s="608"/>
      <c r="AP111" s="608">
        <f t="shared" si="81"/>
        <v>-506463.08508720715</v>
      </c>
      <c r="AR111" s="608">
        <v>0</v>
      </c>
      <c r="AS111" s="608"/>
      <c r="AT111" s="608">
        <v>0</v>
      </c>
      <c r="AU111" s="608"/>
      <c r="AV111" s="797">
        <v>-69195.724299222638</v>
      </c>
      <c r="AW111" s="608"/>
      <c r="AX111" s="607">
        <f t="shared" si="82"/>
        <v>0</v>
      </c>
      <c r="AY111" s="608"/>
      <c r="AZ111" s="607">
        <f t="shared" si="83"/>
        <v>0</v>
      </c>
      <c r="BA111" s="608"/>
      <c r="BB111" s="607">
        <f t="shared" si="84"/>
        <v>-437267.36078798451</v>
      </c>
      <c r="BC111" s="608"/>
      <c r="BD111" s="608">
        <f t="shared" si="97"/>
        <v>-437267.36078798451</v>
      </c>
      <c r="BF111" s="708">
        <f t="shared" si="85"/>
        <v>-607177.47733569646</v>
      </c>
      <c r="BH111" s="592">
        <f t="shared" si="76"/>
        <v>508</v>
      </c>
    </row>
    <row r="112" spans="1:60" ht="14.5">
      <c r="A112" s="592">
        <f t="shared" si="98"/>
        <v>509</v>
      </c>
      <c r="B112" s="624"/>
      <c r="F112" s="711"/>
      <c r="H112" s="719"/>
      <c r="J112" s="622"/>
      <c r="K112" s="608"/>
      <c r="L112" s="622"/>
      <c r="M112" s="608"/>
      <c r="N112" s="622"/>
      <c r="R112" s="608">
        <v>0</v>
      </c>
      <c r="S112" s="608"/>
      <c r="T112" s="608">
        <v>0</v>
      </c>
      <c r="U112" s="608"/>
      <c r="V112" s="608">
        <f t="shared" ref="V112:V113" si="101">N112</f>
        <v>0</v>
      </c>
      <c r="W112" s="608"/>
      <c r="X112" s="608">
        <f t="shared" ref="X112:X113" si="102">SUM(R112:V112)</f>
        <v>0</v>
      </c>
      <c r="Y112" s="608"/>
      <c r="Z112" s="708"/>
      <c r="AA112" s="608"/>
      <c r="AB112" s="608">
        <v>0</v>
      </c>
      <c r="AC112" s="608"/>
      <c r="AD112" s="608">
        <v>0</v>
      </c>
      <c r="AE112" s="608"/>
      <c r="AF112" s="622"/>
      <c r="AG112" s="608"/>
      <c r="AH112" s="708"/>
      <c r="AI112" s="608"/>
      <c r="AJ112" s="607">
        <f t="shared" si="78"/>
        <v>0</v>
      </c>
      <c r="AK112" s="608"/>
      <c r="AL112" s="607">
        <f t="shared" si="79"/>
        <v>0</v>
      </c>
      <c r="AM112" s="608"/>
      <c r="AN112" s="607">
        <f t="shared" si="80"/>
        <v>0</v>
      </c>
      <c r="AO112" s="608"/>
      <c r="AP112" s="608">
        <f t="shared" si="81"/>
        <v>0</v>
      </c>
      <c r="AR112" s="608">
        <v>0</v>
      </c>
      <c r="AS112" s="608"/>
      <c r="AT112" s="608">
        <v>0</v>
      </c>
      <c r="AU112" s="608"/>
      <c r="AV112" s="622"/>
      <c r="AW112" s="608"/>
      <c r="AX112" s="607">
        <f t="shared" si="82"/>
        <v>0</v>
      </c>
      <c r="AY112" s="608"/>
      <c r="AZ112" s="607">
        <f t="shared" si="83"/>
        <v>0</v>
      </c>
      <c r="BA112" s="608"/>
      <c r="BB112" s="607">
        <f t="shared" si="84"/>
        <v>0</v>
      </c>
      <c r="BC112" s="608"/>
      <c r="BD112" s="608">
        <f t="shared" si="97"/>
        <v>0</v>
      </c>
      <c r="BF112" s="708"/>
      <c r="BH112" s="592">
        <f t="shared" si="76"/>
        <v>509</v>
      </c>
    </row>
    <row r="113" spans="1:60" ht="14.5">
      <c r="A113" s="592">
        <f>+A110+1</f>
        <v>508</v>
      </c>
      <c r="B113" s="624"/>
      <c r="F113" s="711"/>
      <c r="H113" s="719"/>
      <c r="J113" s="622"/>
      <c r="K113" s="608"/>
      <c r="L113" s="622"/>
      <c r="M113" s="608"/>
      <c r="N113" s="622"/>
      <c r="R113" s="608">
        <v>0</v>
      </c>
      <c r="S113" s="608"/>
      <c r="T113" s="608">
        <v>0</v>
      </c>
      <c r="U113" s="608"/>
      <c r="V113" s="608">
        <f t="shared" si="101"/>
        <v>0</v>
      </c>
      <c r="W113" s="608"/>
      <c r="X113" s="608">
        <f t="shared" si="102"/>
        <v>0</v>
      </c>
      <c r="Y113" s="608"/>
      <c r="Z113" s="708"/>
      <c r="AA113" s="608"/>
      <c r="AB113" s="608">
        <v>0</v>
      </c>
      <c r="AC113" s="608"/>
      <c r="AD113" s="608">
        <v>0</v>
      </c>
      <c r="AE113" s="608"/>
      <c r="AF113" s="622"/>
      <c r="AG113" s="608"/>
      <c r="AH113" s="708"/>
      <c r="AI113" s="608"/>
      <c r="AJ113" s="607">
        <f t="shared" si="78"/>
        <v>0</v>
      </c>
      <c r="AK113" s="608"/>
      <c r="AL113" s="607">
        <f t="shared" si="79"/>
        <v>0</v>
      </c>
      <c r="AM113" s="608"/>
      <c r="AN113" s="607">
        <f t="shared" si="80"/>
        <v>0</v>
      </c>
      <c r="AO113" s="608"/>
      <c r="AP113" s="608">
        <f t="shared" si="81"/>
        <v>0</v>
      </c>
      <c r="AR113" s="608">
        <v>0</v>
      </c>
      <c r="AS113" s="608"/>
      <c r="AT113" s="608">
        <v>0</v>
      </c>
      <c r="AU113" s="608"/>
      <c r="AV113" s="622"/>
      <c r="AW113" s="608"/>
      <c r="AX113" s="607">
        <f t="shared" si="82"/>
        <v>0</v>
      </c>
      <c r="AY113" s="608"/>
      <c r="AZ113" s="607">
        <f t="shared" si="83"/>
        <v>0</v>
      </c>
      <c r="BA113" s="608"/>
      <c r="BB113" s="607">
        <f t="shared" si="84"/>
        <v>0</v>
      </c>
      <c r="BC113" s="608"/>
      <c r="BD113" s="608">
        <f t="shared" si="97"/>
        <v>0</v>
      </c>
      <c r="BF113" s="708"/>
      <c r="BH113" s="592">
        <f t="shared" si="76"/>
        <v>508</v>
      </c>
    </row>
    <row r="114" spans="1:60" ht="14.5">
      <c r="A114" s="592"/>
      <c r="B114" s="597"/>
      <c r="F114" s="711"/>
      <c r="H114" s="708"/>
      <c r="J114" s="608"/>
      <c r="K114" s="608"/>
      <c r="L114" s="608"/>
      <c r="M114" s="608"/>
      <c r="N114" s="608"/>
      <c r="R114" s="608"/>
      <c r="S114" s="608"/>
      <c r="T114" s="608"/>
      <c r="U114" s="608"/>
      <c r="V114" s="608"/>
      <c r="W114" s="608"/>
      <c r="X114" s="608"/>
      <c r="Y114" s="608"/>
      <c r="Z114" s="708"/>
      <c r="AA114" s="608"/>
      <c r="AB114" s="608"/>
      <c r="AC114" s="608"/>
      <c r="AD114" s="608"/>
      <c r="AE114" s="608"/>
      <c r="AF114" s="608"/>
      <c r="AG114" s="608"/>
      <c r="AH114" s="708"/>
      <c r="AI114" s="608"/>
      <c r="AJ114" s="608"/>
      <c r="AK114" s="608"/>
      <c r="AL114" s="608"/>
      <c r="AM114" s="608"/>
      <c r="AN114" s="608"/>
      <c r="AO114" s="608"/>
      <c r="AP114" s="608"/>
      <c r="AR114" s="608"/>
      <c r="AS114" s="608"/>
      <c r="AT114" s="608"/>
      <c r="AU114" s="608"/>
      <c r="AV114" s="608"/>
      <c r="AW114" s="608"/>
      <c r="AX114" s="608"/>
      <c r="AY114" s="608"/>
      <c r="AZ114" s="608"/>
      <c r="BA114" s="608"/>
      <c r="BB114" s="608"/>
      <c r="BC114" s="608"/>
      <c r="BD114" s="608"/>
      <c r="BF114" s="708"/>
      <c r="BH114" s="592"/>
    </row>
    <row r="115" spans="1:60" ht="14.5">
      <c r="A115" s="324" t="s">
        <v>100</v>
      </c>
      <c r="F115" s="711"/>
      <c r="H115" s="701"/>
      <c r="BH115" s="618" t="s">
        <v>100</v>
      </c>
    </row>
    <row r="116" spans="1:60" ht="14.5">
      <c r="A116" s="592">
        <v>600</v>
      </c>
      <c r="B116" s="590" t="s">
        <v>1501</v>
      </c>
      <c r="F116" s="711"/>
      <c r="H116" s="717">
        <f>ROUND(SUM(H117:H121),0)</f>
        <v>0</v>
      </c>
      <c r="J116" s="611">
        <f>ROUND(SUM(J117:J121),0)</f>
        <v>336430551</v>
      </c>
      <c r="K116" s="608"/>
      <c r="L116" s="611">
        <f>ROUND(SUM(L117:L121),0)</f>
        <v>201858330</v>
      </c>
      <c r="M116" s="608"/>
      <c r="N116" s="611">
        <f>ROUND(SUM(N117:N121),0)</f>
        <v>134572220</v>
      </c>
      <c r="O116" s="592"/>
      <c r="P116" s="592"/>
      <c r="Q116" s="592"/>
      <c r="R116" s="611">
        <f>ROUND(SUM(R117:R121),0)</f>
        <v>134572220</v>
      </c>
      <c r="S116" s="608"/>
      <c r="T116" s="611">
        <f>ROUND(SUM(T117:T121),0)</f>
        <v>0</v>
      </c>
      <c r="U116" s="608"/>
      <c r="V116" s="611">
        <f>ROUND(SUM(V117:V121),0)</f>
        <v>0</v>
      </c>
      <c r="W116" s="608"/>
      <c r="X116" s="611">
        <f>ROUND(SUM(X117:X121),0)</f>
        <v>134572220</v>
      </c>
      <c r="Y116" s="608"/>
      <c r="Z116" s="708"/>
      <c r="AA116" s="608"/>
      <c r="AB116" s="611">
        <f>SUM(AB117:AB121)</f>
        <v>6619455.2183556501</v>
      </c>
      <c r="AC116" s="608"/>
      <c r="AD116" s="611">
        <f>SUM(AD117:AD121)</f>
        <v>0</v>
      </c>
      <c r="AE116" s="608"/>
      <c r="AF116" s="611">
        <f>SUM(AF117:AF121)</f>
        <v>0</v>
      </c>
      <c r="AG116" s="608"/>
      <c r="AH116" s="708"/>
      <c r="AI116" s="608"/>
      <c r="AJ116" s="611">
        <f>SUM(AJ117:AJ121)</f>
        <v>127952764.98767835</v>
      </c>
      <c r="AK116" s="608"/>
      <c r="AL116" s="611">
        <f>SUM(AL117:AL121)</f>
        <v>0</v>
      </c>
      <c r="AM116" s="608"/>
      <c r="AN116" s="611">
        <f>SUM(AN117:AN121)</f>
        <v>0</v>
      </c>
      <c r="AO116" s="608"/>
      <c r="AP116" s="611">
        <f>SUM(AP117:AP121)</f>
        <v>127952764.98767835</v>
      </c>
      <c r="AR116" s="611">
        <f>SUM(AR117:AR121)</f>
        <v>2209671.1178206801</v>
      </c>
      <c r="AS116" s="608"/>
      <c r="AT116" s="611">
        <f>SUM(AT117:AT121)</f>
        <v>0</v>
      </c>
      <c r="AU116" s="608"/>
      <c r="AV116" s="611">
        <f>SUM(AV117:AV121)</f>
        <v>0</v>
      </c>
      <c r="AW116" s="608"/>
      <c r="AX116" s="611">
        <f>SUM(AX117:AX121)</f>
        <v>125743093.86985767</v>
      </c>
      <c r="AY116" s="608"/>
      <c r="AZ116" s="611">
        <f>SUM(AZ117:AZ121)</f>
        <v>0</v>
      </c>
      <c r="BA116" s="608"/>
      <c r="BB116" s="611">
        <f>SUM(BB117:BB121)</f>
        <v>0</v>
      </c>
      <c r="BC116" s="608"/>
      <c r="BD116" s="611">
        <f>SUM(BD117:BD121)</f>
        <v>125743093.86985767</v>
      </c>
      <c r="BF116" s="717">
        <f>ROUND(SUM(BF117:BF121),0)</f>
        <v>174603415</v>
      </c>
      <c r="BH116" s="592">
        <f t="shared" ref="BH116:BH121" si="103">A116</f>
        <v>600</v>
      </c>
    </row>
    <row r="117" spans="1:60" ht="14.5">
      <c r="A117" s="592">
        <f t="shared" ref="A117:A120" si="104">A116+1</f>
        <v>601</v>
      </c>
      <c r="B117" s="637" t="s">
        <v>1502</v>
      </c>
      <c r="F117" s="711" t="s">
        <v>1420</v>
      </c>
      <c r="H117" s="719"/>
      <c r="J117" s="622">
        <v>336430550.515086</v>
      </c>
      <c r="K117" s="608"/>
      <c r="L117" s="622">
        <v>201858330.30905101</v>
      </c>
      <c r="M117" s="608"/>
      <c r="N117" s="622">
        <v>134572220.206034</v>
      </c>
      <c r="P117" s="709" t="s">
        <v>1415</v>
      </c>
      <c r="R117" s="608">
        <f>+N117</f>
        <v>134572220.206034</v>
      </c>
      <c r="S117" s="608"/>
      <c r="T117" s="608">
        <v>0</v>
      </c>
      <c r="U117" s="608"/>
      <c r="V117" s="608">
        <v>0</v>
      </c>
      <c r="W117" s="608"/>
      <c r="X117" s="608">
        <f>SUM(R117:V117)</f>
        <v>134572220.206034</v>
      </c>
      <c r="Y117" s="608"/>
      <c r="Z117" s="609" t="s">
        <v>1406</v>
      </c>
      <c r="AA117" s="608"/>
      <c r="AB117" s="622">
        <v>6619455.2183556501</v>
      </c>
      <c r="AC117" s="608"/>
      <c r="AD117" s="608">
        <v>0</v>
      </c>
      <c r="AE117" s="608"/>
      <c r="AF117" s="608">
        <v>0</v>
      </c>
      <c r="AG117" s="608"/>
      <c r="AH117" s="609" t="s">
        <v>1416</v>
      </c>
      <c r="AI117" s="608"/>
      <c r="AJ117" s="607">
        <f t="shared" ref="AJ117:AJ122" si="105">+R117-AB117</f>
        <v>127952764.98767835</v>
      </c>
      <c r="AK117" s="608"/>
      <c r="AL117" s="607">
        <f t="shared" ref="AL117:AL122" si="106">+T117-AD117</f>
        <v>0</v>
      </c>
      <c r="AM117" s="608"/>
      <c r="AN117" s="607">
        <f t="shared" ref="AN117:AN122" si="107">+V117-AF117</f>
        <v>0</v>
      </c>
      <c r="AO117" s="608"/>
      <c r="AP117" s="608">
        <f t="shared" ref="AP117:AP122" si="108">SUM(AJ117:AN117)</f>
        <v>127952764.98767835</v>
      </c>
      <c r="AR117" s="797">
        <v>2209671.1178206801</v>
      </c>
      <c r="AS117" s="608"/>
      <c r="AT117" s="608">
        <v>0</v>
      </c>
      <c r="AU117" s="608"/>
      <c r="AV117" s="608">
        <v>0</v>
      </c>
      <c r="AW117" s="608"/>
      <c r="AX117" s="607">
        <f>+AJ117-AR117</f>
        <v>125743093.86985767</v>
      </c>
      <c r="AY117" s="608"/>
      <c r="AZ117" s="607">
        <f t="shared" ref="AZ117:AZ122" si="109">+AL117-AT117</f>
        <v>0</v>
      </c>
      <c r="BA117" s="608"/>
      <c r="BB117" s="607">
        <f t="shared" ref="BB117:BB122" si="110">+AN117-AV117</f>
        <v>0</v>
      </c>
      <c r="BC117" s="608"/>
      <c r="BD117" s="608">
        <f>SUM(AX117:BB117)</f>
        <v>125743093.86985767</v>
      </c>
      <c r="BF117" s="708">
        <f t="shared" ref="BF117:BF121" si="111">+BD117*$BF$9</f>
        <v>174603415.15246201</v>
      </c>
      <c r="BH117" s="592">
        <f t="shared" si="103"/>
        <v>601</v>
      </c>
    </row>
    <row r="118" spans="1:60" ht="14.5">
      <c r="A118" s="592">
        <f t="shared" si="104"/>
        <v>602</v>
      </c>
      <c r="B118" s="637"/>
      <c r="F118" s="711" t="s">
        <v>1420</v>
      </c>
      <c r="H118" s="719"/>
      <c r="J118" s="622"/>
      <c r="K118" s="608"/>
      <c r="L118" s="622"/>
      <c r="M118" s="608"/>
      <c r="N118" s="622"/>
      <c r="P118" s="709" t="s">
        <v>1415</v>
      </c>
      <c r="R118" s="608">
        <f>N118</f>
        <v>0</v>
      </c>
      <c r="S118" s="608"/>
      <c r="T118" s="608">
        <v>0</v>
      </c>
      <c r="U118" s="608"/>
      <c r="V118" s="608">
        <v>0</v>
      </c>
      <c r="W118" s="608"/>
      <c r="X118" s="608">
        <f t="shared" ref="X118:X121" si="112">SUM(R118:V118)</f>
        <v>0</v>
      </c>
      <c r="Y118" s="608"/>
      <c r="Z118" s="609" t="s">
        <v>1406</v>
      </c>
      <c r="AA118" s="608"/>
      <c r="AB118" s="622"/>
      <c r="AC118" s="608"/>
      <c r="AD118" s="608">
        <v>0</v>
      </c>
      <c r="AE118" s="608"/>
      <c r="AF118" s="608">
        <v>0</v>
      </c>
      <c r="AG118" s="608"/>
      <c r="AH118" s="609" t="s">
        <v>1416</v>
      </c>
      <c r="AI118" s="608"/>
      <c r="AJ118" s="607">
        <f t="shared" si="105"/>
        <v>0</v>
      </c>
      <c r="AK118" s="608"/>
      <c r="AL118" s="607">
        <f t="shared" si="106"/>
        <v>0</v>
      </c>
      <c r="AM118" s="608"/>
      <c r="AN118" s="607">
        <f t="shared" si="107"/>
        <v>0</v>
      </c>
      <c r="AO118" s="608"/>
      <c r="AP118" s="608">
        <f t="shared" si="108"/>
        <v>0</v>
      </c>
      <c r="AR118" s="622"/>
      <c r="AS118" s="608"/>
      <c r="AT118" s="608">
        <v>0</v>
      </c>
      <c r="AU118" s="608"/>
      <c r="AV118" s="608">
        <v>0</v>
      </c>
      <c r="AW118" s="608"/>
      <c r="AX118" s="607">
        <f t="shared" ref="AX118:AX122" si="113">+AJ118-AR118</f>
        <v>0</v>
      </c>
      <c r="AY118" s="608"/>
      <c r="AZ118" s="607">
        <f t="shared" si="109"/>
        <v>0</v>
      </c>
      <c r="BA118" s="608"/>
      <c r="BB118" s="607">
        <f t="shared" si="110"/>
        <v>0</v>
      </c>
      <c r="BC118" s="608"/>
      <c r="BD118" s="608">
        <f t="shared" ref="BD118:BD121" si="114">SUM(AX118:BB118)</f>
        <v>0</v>
      </c>
      <c r="BF118" s="708">
        <f t="shared" si="111"/>
        <v>0</v>
      </c>
      <c r="BH118" s="592">
        <f t="shared" si="103"/>
        <v>602</v>
      </c>
    </row>
    <row r="119" spans="1:60" ht="14.5">
      <c r="A119" s="592">
        <f t="shared" si="104"/>
        <v>603</v>
      </c>
      <c r="B119" s="623"/>
      <c r="F119" s="711"/>
      <c r="H119" s="719"/>
      <c r="J119" s="622"/>
      <c r="K119" s="608"/>
      <c r="L119" s="622"/>
      <c r="M119" s="608"/>
      <c r="N119" s="622"/>
      <c r="R119" s="608">
        <v>0</v>
      </c>
      <c r="S119" s="608"/>
      <c r="T119" s="608">
        <v>0</v>
      </c>
      <c r="U119" s="608"/>
      <c r="V119" s="608">
        <v>0</v>
      </c>
      <c r="W119" s="608"/>
      <c r="X119" s="608">
        <f t="shared" si="112"/>
        <v>0</v>
      </c>
      <c r="Y119" s="608"/>
      <c r="Z119" s="708"/>
      <c r="AA119" s="608"/>
      <c r="AB119" s="622"/>
      <c r="AC119" s="608"/>
      <c r="AD119" s="608">
        <v>0</v>
      </c>
      <c r="AE119" s="608"/>
      <c r="AF119" s="608">
        <v>0</v>
      </c>
      <c r="AG119" s="608"/>
      <c r="AH119" s="708"/>
      <c r="AI119" s="608"/>
      <c r="AJ119" s="607">
        <f t="shared" si="105"/>
        <v>0</v>
      </c>
      <c r="AK119" s="608"/>
      <c r="AL119" s="607">
        <f t="shared" si="106"/>
        <v>0</v>
      </c>
      <c r="AM119" s="608"/>
      <c r="AN119" s="607">
        <f t="shared" si="107"/>
        <v>0</v>
      </c>
      <c r="AO119" s="608"/>
      <c r="AP119" s="608">
        <f t="shared" si="108"/>
        <v>0</v>
      </c>
      <c r="AR119" s="622"/>
      <c r="AS119" s="608"/>
      <c r="AT119" s="608">
        <v>0</v>
      </c>
      <c r="AU119" s="608"/>
      <c r="AV119" s="608">
        <v>0</v>
      </c>
      <c r="AW119" s="608"/>
      <c r="AX119" s="607">
        <f t="shared" si="113"/>
        <v>0</v>
      </c>
      <c r="AY119" s="608"/>
      <c r="AZ119" s="607">
        <f t="shared" si="109"/>
        <v>0</v>
      </c>
      <c r="BA119" s="608"/>
      <c r="BB119" s="607">
        <f t="shared" si="110"/>
        <v>0</v>
      </c>
      <c r="BC119" s="608"/>
      <c r="BD119" s="608">
        <f t="shared" si="114"/>
        <v>0</v>
      </c>
      <c r="BF119" s="708">
        <f t="shared" si="111"/>
        <v>0</v>
      </c>
      <c r="BH119" s="592">
        <f t="shared" si="103"/>
        <v>603</v>
      </c>
    </row>
    <row r="120" spans="1:60" ht="14.5">
      <c r="A120" s="592">
        <f t="shared" si="104"/>
        <v>604</v>
      </c>
      <c r="B120" s="623"/>
      <c r="H120" s="719"/>
      <c r="J120" s="622"/>
      <c r="K120" s="608"/>
      <c r="L120" s="622"/>
      <c r="M120" s="608"/>
      <c r="N120" s="622"/>
      <c r="R120" s="608">
        <v>0</v>
      </c>
      <c r="S120" s="608"/>
      <c r="T120" s="608">
        <v>0</v>
      </c>
      <c r="U120" s="608"/>
      <c r="V120" s="608">
        <v>0</v>
      </c>
      <c r="W120" s="608"/>
      <c r="X120" s="608">
        <f t="shared" si="112"/>
        <v>0</v>
      </c>
      <c r="Y120" s="608"/>
      <c r="Z120" s="708"/>
      <c r="AA120" s="608"/>
      <c r="AB120" s="622"/>
      <c r="AC120" s="608"/>
      <c r="AD120" s="608">
        <v>0</v>
      </c>
      <c r="AE120" s="608"/>
      <c r="AF120" s="608">
        <v>0</v>
      </c>
      <c r="AG120" s="608"/>
      <c r="AH120" s="708"/>
      <c r="AI120" s="608"/>
      <c r="AJ120" s="607">
        <f t="shared" si="105"/>
        <v>0</v>
      </c>
      <c r="AK120" s="608"/>
      <c r="AL120" s="607">
        <f t="shared" si="106"/>
        <v>0</v>
      </c>
      <c r="AM120" s="608"/>
      <c r="AN120" s="607">
        <f t="shared" si="107"/>
        <v>0</v>
      </c>
      <c r="AO120" s="608"/>
      <c r="AP120" s="608">
        <f t="shared" si="108"/>
        <v>0</v>
      </c>
      <c r="AR120" s="622"/>
      <c r="AS120" s="608"/>
      <c r="AT120" s="608">
        <v>0</v>
      </c>
      <c r="AU120" s="608"/>
      <c r="AV120" s="608">
        <v>0</v>
      </c>
      <c r="AW120" s="608"/>
      <c r="AX120" s="607">
        <f t="shared" si="113"/>
        <v>0</v>
      </c>
      <c r="AY120" s="608"/>
      <c r="AZ120" s="607">
        <f t="shared" si="109"/>
        <v>0</v>
      </c>
      <c r="BA120" s="608"/>
      <c r="BB120" s="607">
        <f t="shared" si="110"/>
        <v>0</v>
      </c>
      <c r="BC120" s="608"/>
      <c r="BD120" s="608">
        <f t="shared" si="114"/>
        <v>0</v>
      </c>
      <c r="BF120" s="708">
        <f t="shared" si="111"/>
        <v>0</v>
      </c>
      <c r="BH120" s="592">
        <f t="shared" si="103"/>
        <v>604</v>
      </c>
    </row>
    <row r="121" spans="1:60" ht="14.5">
      <c r="A121" s="592">
        <f>+A120+1</f>
        <v>605</v>
      </c>
      <c r="B121" s="623"/>
      <c r="H121" s="719"/>
      <c r="J121" s="622"/>
      <c r="K121" s="608"/>
      <c r="L121" s="622"/>
      <c r="M121" s="608"/>
      <c r="N121" s="622"/>
      <c r="R121" s="608">
        <v>0</v>
      </c>
      <c r="S121" s="608"/>
      <c r="T121" s="608">
        <v>0</v>
      </c>
      <c r="U121" s="608"/>
      <c r="V121" s="608">
        <v>0</v>
      </c>
      <c r="W121" s="608"/>
      <c r="X121" s="608">
        <f t="shared" si="112"/>
        <v>0</v>
      </c>
      <c r="Y121" s="608"/>
      <c r="Z121" s="708"/>
      <c r="AA121" s="608"/>
      <c r="AB121" s="622"/>
      <c r="AC121" s="608"/>
      <c r="AD121" s="608">
        <v>0</v>
      </c>
      <c r="AE121" s="608"/>
      <c r="AF121" s="608">
        <v>0</v>
      </c>
      <c r="AG121" s="608"/>
      <c r="AH121" s="708"/>
      <c r="AI121" s="608"/>
      <c r="AJ121" s="607">
        <f t="shared" si="105"/>
        <v>0</v>
      </c>
      <c r="AK121" s="608"/>
      <c r="AL121" s="607">
        <f t="shared" si="106"/>
        <v>0</v>
      </c>
      <c r="AM121" s="608"/>
      <c r="AN121" s="607">
        <f t="shared" si="107"/>
        <v>0</v>
      </c>
      <c r="AO121" s="608"/>
      <c r="AP121" s="608">
        <f t="shared" si="108"/>
        <v>0</v>
      </c>
      <c r="AR121" s="622"/>
      <c r="AS121" s="608"/>
      <c r="AT121" s="608">
        <v>0</v>
      </c>
      <c r="AU121" s="608"/>
      <c r="AV121" s="608">
        <v>0</v>
      </c>
      <c r="AW121" s="608"/>
      <c r="AX121" s="607">
        <f t="shared" si="113"/>
        <v>0</v>
      </c>
      <c r="AY121" s="608"/>
      <c r="AZ121" s="607">
        <f t="shared" si="109"/>
        <v>0</v>
      </c>
      <c r="BA121" s="608"/>
      <c r="BB121" s="607">
        <f t="shared" si="110"/>
        <v>0</v>
      </c>
      <c r="BC121" s="608"/>
      <c r="BD121" s="608">
        <f t="shared" si="114"/>
        <v>0</v>
      </c>
      <c r="BF121" s="708">
        <f t="shared" si="111"/>
        <v>0</v>
      </c>
      <c r="BH121" s="592">
        <f t="shared" si="103"/>
        <v>605</v>
      </c>
    </row>
    <row r="122" spans="1:60" ht="14.5">
      <c r="A122" s="592"/>
      <c r="B122" s="597"/>
      <c r="H122" s="708"/>
      <c r="J122" s="608"/>
      <c r="K122" s="608"/>
      <c r="L122" s="608"/>
      <c r="M122" s="608"/>
      <c r="N122" s="608"/>
      <c r="R122" s="608"/>
      <c r="S122" s="608"/>
      <c r="T122" s="608"/>
      <c r="U122" s="608"/>
      <c r="V122" s="608"/>
      <c r="W122" s="608"/>
      <c r="X122" s="608"/>
      <c r="Y122" s="608"/>
      <c r="Z122" s="708"/>
      <c r="AA122" s="608"/>
      <c r="AB122" s="608"/>
      <c r="AC122" s="608"/>
      <c r="AD122" s="608"/>
      <c r="AE122" s="608"/>
      <c r="AF122" s="608"/>
      <c r="AG122" s="608"/>
      <c r="AH122" s="708"/>
      <c r="AI122" s="608"/>
      <c r="AJ122" s="608">
        <f t="shared" si="105"/>
        <v>0</v>
      </c>
      <c r="AK122" s="608"/>
      <c r="AL122" s="608">
        <f t="shared" si="106"/>
        <v>0</v>
      </c>
      <c r="AM122" s="608"/>
      <c r="AN122" s="608">
        <f t="shared" si="107"/>
        <v>0</v>
      </c>
      <c r="AO122" s="608"/>
      <c r="AP122" s="608">
        <f t="shared" si="108"/>
        <v>0</v>
      </c>
      <c r="AR122" s="608"/>
      <c r="AS122" s="608"/>
      <c r="AT122" s="608"/>
      <c r="AU122" s="608"/>
      <c r="AV122" s="608"/>
      <c r="AW122" s="608"/>
      <c r="AX122" s="608">
        <f t="shared" si="113"/>
        <v>0</v>
      </c>
      <c r="AY122" s="608"/>
      <c r="AZ122" s="608">
        <f t="shared" si="109"/>
        <v>0</v>
      </c>
      <c r="BA122" s="608"/>
      <c r="BB122" s="608">
        <f t="shared" si="110"/>
        <v>0</v>
      </c>
      <c r="BC122" s="608"/>
      <c r="BD122" s="608"/>
      <c r="BF122" s="708"/>
      <c r="BH122" s="592"/>
    </row>
    <row r="123" spans="1:60" ht="14.5">
      <c r="A123" s="324" t="s">
        <v>100</v>
      </c>
      <c r="H123" s="701"/>
      <c r="BH123" s="618" t="s">
        <v>100</v>
      </c>
    </row>
    <row r="124" spans="1:60" ht="14.5">
      <c r="A124" s="592">
        <v>700</v>
      </c>
      <c r="B124" s="613" t="s">
        <v>1421</v>
      </c>
      <c r="H124" s="717">
        <f>SUM(H125:H129)</f>
        <v>0</v>
      </c>
      <c r="J124" s="611">
        <f>SUM(J125:J129)</f>
        <v>-22361973.694661092</v>
      </c>
      <c r="K124" s="608"/>
      <c r="L124" s="611">
        <f>SUM(L125:L129)</f>
        <v>-13417682.378914446</v>
      </c>
      <c r="M124" s="608"/>
      <c r="N124" s="611">
        <f>SUM(N125:N129)</f>
        <v>-8944291.3157466538</v>
      </c>
      <c r="O124" s="592"/>
      <c r="P124" s="592"/>
      <c r="Q124" s="592"/>
      <c r="R124" s="611">
        <f>SUM(R125:R129)</f>
        <v>0</v>
      </c>
      <c r="S124" s="608"/>
      <c r="T124" s="611">
        <f>SUM(T125:T129)</f>
        <v>-8944291.3157466538</v>
      </c>
      <c r="U124" s="608"/>
      <c r="V124" s="611">
        <f>SUM(V125:V129)</f>
        <v>0</v>
      </c>
      <c r="W124" s="608"/>
      <c r="X124" s="611">
        <f>SUM(X125:X129)</f>
        <v>-8944291.3157466538</v>
      </c>
      <c r="Y124" s="608"/>
      <c r="Z124" s="708"/>
      <c r="AA124" s="608"/>
      <c r="AB124" s="611">
        <f>SUM(AB125:AB129)</f>
        <v>0</v>
      </c>
      <c r="AC124" s="608"/>
      <c r="AD124" s="611">
        <f>SUM(AD125:AD129)</f>
        <v>-2137746.3489086498</v>
      </c>
      <c r="AE124" s="608"/>
      <c r="AF124" s="611">
        <f>SUM(AF125:AF129)</f>
        <v>0</v>
      </c>
      <c r="AG124" s="608"/>
      <c r="AH124" s="708"/>
      <c r="AI124" s="608"/>
      <c r="AJ124" s="611">
        <f>SUM(AJ125:AJ129)</f>
        <v>0</v>
      </c>
      <c r="AK124" s="608"/>
      <c r="AL124" s="611">
        <f>SUM(AL125:AL129)</f>
        <v>-6806544.9668380041</v>
      </c>
      <c r="AM124" s="608"/>
      <c r="AN124" s="611">
        <f>SUM(AN125:AN129)</f>
        <v>0</v>
      </c>
      <c r="AO124" s="608"/>
      <c r="AP124" s="611">
        <f>SUM(AP125:AP129)</f>
        <v>-6806544.9668380041</v>
      </c>
      <c r="AR124" s="611">
        <f>SUM(AR125:AR129)</f>
        <v>0</v>
      </c>
      <c r="AS124" s="608"/>
      <c r="AT124" s="611">
        <f>SUM(AT125:AT129)</f>
        <v>-929946.9651860015</v>
      </c>
      <c r="AU124" s="608"/>
      <c r="AV124" s="611">
        <f>SUM(AV125:AV129)</f>
        <v>0</v>
      </c>
      <c r="AW124" s="608"/>
      <c r="AX124" s="611">
        <f>SUM(AX125:AX129)</f>
        <v>0</v>
      </c>
      <c r="AY124" s="608"/>
      <c r="AZ124" s="611">
        <f>SUM(AZ125:AZ129)</f>
        <v>-5876598.0016520023</v>
      </c>
      <c r="BA124" s="608"/>
      <c r="BB124" s="611">
        <f>SUM(BB125:BB129)</f>
        <v>0</v>
      </c>
      <c r="BC124" s="608"/>
      <c r="BD124" s="611">
        <f>SUM(BD125:BD129)</f>
        <v>-5876598.0016520023</v>
      </c>
      <c r="BF124" s="717">
        <f>SUM(BF125:BF129)</f>
        <v>-12419797.87346584</v>
      </c>
      <c r="BH124" s="592">
        <f t="shared" ref="BH124:BH129" si="115">A124</f>
        <v>700</v>
      </c>
    </row>
    <row r="125" spans="1:60" ht="14.5">
      <c r="A125" s="592">
        <f t="shared" ref="A125:A128" si="116">A124+1</f>
        <v>701</v>
      </c>
      <c r="B125" s="624" t="s">
        <v>1503</v>
      </c>
      <c r="H125" s="719"/>
      <c r="J125" s="622">
        <v>-29456149.263061095</v>
      </c>
      <c r="K125" s="608"/>
      <c r="L125" s="622">
        <v>-17673689.602903582</v>
      </c>
      <c r="M125" s="608"/>
      <c r="N125" s="622">
        <v>-11782459.660157517</v>
      </c>
      <c r="R125" s="608">
        <v>0</v>
      </c>
      <c r="S125" s="608"/>
      <c r="T125" s="608">
        <f>N125</f>
        <v>-11782459.660157517</v>
      </c>
      <c r="U125" s="608"/>
      <c r="V125" s="608">
        <v>0</v>
      </c>
      <c r="W125" s="608"/>
      <c r="X125" s="608">
        <f>SUM(R125:V125)</f>
        <v>-11782459.660157517</v>
      </c>
      <c r="Y125" s="608"/>
      <c r="Z125" s="708"/>
      <c r="AA125" s="608"/>
      <c r="AB125" s="622"/>
      <c r="AC125" s="608"/>
      <c r="AD125" s="622">
        <v>-2816087.8520717705</v>
      </c>
      <c r="AE125" s="608"/>
      <c r="AF125" s="622"/>
      <c r="AG125" s="608"/>
      <c r="AH125" s="708"/>
      <c r="AI125" s="608"/>
      <c r="AJ125" s="607">
        <f t="shared" ref="AJ125:AJ129" si="117">+R125-AB125</f>
        <v>0</v>
      </c>
      <c r="AK125" s="608"/>
      <c r="AL125" s="607">
        <f t="shared" ref="AL125:AL129" si="118">+T125-AD125</f>
        <v>-8966371.8080857471</v>
      </c>
      <c r="AM125" s="608"/>
      <c r="AN125" s="607">
        <f t="shared" ref="AN125:AN129" si="119">+V125-AF125</f>
        <v>0</v>
      </c>
      <c r="AO125" s="608"/>
      <c r="AP125" s="608">
        <f t="shared" ref="AP125:AP129" si="120">SUM(AJ125:AN125)</f>
        <v>-8966371.8080857471</v>
      </c>
      <c r="AR125" s="622"/>
      <c r="AS125" s="608"/>
      <c r="AT125" s="797">
        <v>-1225034.1828759292</v>
      </c>
      <c r="AU125" s="608"/>
      <c r="AV125" s="622"/>
      <c r="AW125" s="608"/>
      <c r="AX125" s="607">
        <f>+AJ125-AR125</f>
        <v>0</v>
      </c>
      <c r="AY125" s="608"/>
      <c r="AZ125" s="607">
        <f>+AL125-AT125</f>
        <v>-7741337.6252098177</v>
      </c>
      <c r="BA125" s="608"/>
      <c r="BB125" s="607">
        <f>+AN125-AV125</f>
        <v>0</v>
      </c>
      <c r="BC125" s="608"/>
      <c r="BD125" s="608">
        <f>SUM(AX125:BB125)</f>
        <v>-7741337.6252098177</v>
      </c>
      <c r="BF125" s="708">
        <f>+N125*$BF$9</f>
        <v>-16360800.678953011</v>
      </c>
      <c r="BH125" s="592">
        <f t="shared" si="115"/>
        <v>701</v>
      </c>
    </row>
    <row r="126" spans="1:60" ht="14.5">
      <c r="A126" s="592">
        <f t="shared" si="116"/>
        <v>702</v>
      </c>
      <c r="B126" s="624" t="s">
        <v>1504</v>
      </c>
      <c r="H126" s="719"/>
      <c r="J126" s="622">
        <v>3240926.9879999999</v>
      </c>
      <c r="K126" s="608"/>
      <c r="L126" s="622">
        <v>1944556.164138</v>
      </c>
      <c r="M126" s="608"/>
      <c r="N126" s="622">
        <v>1296370.8238620001</v>
      </c>
      <c r="R126" s="608">
        <v>0</v>
      </c>
      <c r="S126" s="608"/>
      <c r="T126" s="608">
        <f t="shared" ref="T126:T129" si="121">N126</f>
        <v>1296370.8238620001</v>
      </c>
      <c r="U126" s="608"/>
      <c r="V126" s="608">
        <v>0</v>
      </c>
      <c r="W126" s="608"/>
      <c r="X126" s="608">
        <f t="shared" ref="X126:X129" si="122">SUM(R126:V126)</f>
        <v>1296370.8238620001</v>
      </c>
      <c r="Y126" s="608"/>
      <c r="Z126" s="708"/>
      <c r="AA126" s="608"/>
      <c r="AB126" s="622"/>
      <c r="AC126" s="608"/>
      <c r="AD126" s="622">
        <v>309841.42820390069</v>
      </c>
      <c r="AE126" s="608"/>
      <c r="AF126" s="622"/>
      <c r="AG126" s="608"/>
      <c r="AH126" s="708"/>
      <c r="AI126" s="608"/>
      <c r="AJ126" s="607">
        <f t="shared" si="117"/>
        <v>0</v>
      </c>
      <c r="AK126" s="608"/>
      <c r="AL126" s="607">
        <f t="shared" si="118"/>
        <v>986529.39565809944</v>
      </c>
      <c r="AM126" s="608"/>
      <c r="AN126" s="607">
        <f t="shared" si="119"/>
        <v>0</v>
      </c>
      <c r="AO126" s="608"/>
      <c r="AP126" s="608">
        <f t="shared" si="120"/>
        <v>986529.39565809944</v>
      </c>
      <c r="AR126" s="622"/>
      <c r="AS126" s="608"/>
      <c r="AT126" s="797">
        <v>134784.97857999452</v>
      </c>
      <c r="AU126" s="608"/>
      <c r="AV126" s="622"/>
      <c r="AW126" s="608"/>
      <c r="AX126" s="607">
        <f>+AJ126-AR126</f>
        <v>0</v>
      </c>
      <c r="AY126" s="608"/>
      <c r="AZ126" s="607">
        <f>+AL126-AT126</f>
        <v>851744.41707810492</v>
      </c>
      <c r="BA126" s="608"/>
      <c r="BB126" s="607">
        <f>+AN126-AV126</f>
        <v>0</v>
      </c>
      <c r="BC126" s="608"/>
      <c r="BD126" s="608">
        <f t="shared" ref="BD126:BD129" si="123">SUM(AX126:BB126)</f>
        <v>851744.41707810492</v>
      </c>
      <c r="BF126" s="708">
        <f>+N126*$BF$9</f>
        <v>1800105.0092228993</v>
      </c>
      <c r="BH126" s="592">
        <f t="shared" si="115"/>
        <v>702</v>
      </c>
    </row>
    <row r="127" spans="1:60" ht="14.5">
      <c r="A127" s="592">
        <f t="shared" si="116"/>
        <v>703</v>
      </c>
      <c r="B127" s="624" t="s">
        <v>1505</v>
      </c>
      <c r="H127" s="719"/>
      <c r="J127" s="622">
        <v>3853248.5804000003</v>
      </c>
      <c r="K127" s="608"/>
      <c r="L127" s="622">
        <v>2311451.0598511361</v>
      </c>
      <c r="M127" s="608"/>
      <c r="N127" s="622">
        <v>1541797.520548864</v>
      </c>
      <c r="R127" s="608">
        <v>0</v>
      </c>
      <c r="S127" s="608"/>
      <c r="T127" s="608">
        <f t="shared" si="121"/>
        <v>1541797.520548864</v>
      </c>
      <c r="U127" s="608"/>
      <c r="V127" s="608">
        <v>0</v>
      </c>
      <c r="W127" s="608"/>
      <c r="X127" s="608">
        <f t="shared" si="122"/>
        <v>1541797.520548864</v>
      </c>
      <c r="Y127" s="608"/>
      <c r="Z127" s="708"/>
      <c r="AA127" s="608"/>
      <c r="AB127" s="622"/>
      <c r="AC127" s="608"/>
      <c r="AD127" s="622">
        <v>368500.07495922007</v>
      </c>
      <c r="AE127" s="608"/>
      <c r="AF127" s="622"/>
      <c r="AG127" s="608"/>
      <c r="AH127" s="708"/>
      <c r="AI127" s="608"/>
      <c r="AJ127" s="607">
        <f t="shared" si="117"/>
        <v>0</v>
      </c>
      <c r="AK127" s="608"/>
      <c r="AL127" s="607">
        <f t="shared" si="118"/>
        <v>1173297.4455896439</v>
      </c>
      <c r="AM127" s="608"/>
      <c r="AN127" s="607">
        <f t="shared" si="119"/>
        <v>0</v>
      </c>
      <c r="AO127" s="608"/>
      <c r="AP127" s="608">
        <f t="shared" si="120"/>
        <v>1173297.4455896439</v>
      </c>
      <c r="AR127" s="622"/>
      <c r="AS127" s="608"/>
      <c r="AT127" s="797">
        <v>160302.23910993309</v>
      </c>
      <c r="AU127" s="608"/>
      <c r="AV127" s="622"/>
      <c r="AW127" s="608"/>
      <c r="AX127" s="607">
        <f>+AJ127-AR127</f>
        <v>0</v>
      </c>
      <c r="AY127" s="608"/>
      <c r="AZ127" s="607">
        <f>+AL127-AT127</f>
        <v>1012995.2064797108</v>
      </c>
      <c r="BA127" s="608"/>
      <c r="BB127" s="607">
        <f>+AN127-AV127</f>
        <v>0</v>
      </c>
      <c r="BC127" s="608"/>
      <c r="BD127" s="608">
        <f t="shared" si="123"/>
        <v>1012995.2064797108</v>
      </c>
      <c r="BF127" s="708">
        <f>+N127*$BF$9</f>
        <v>2140897.7962642731</v>
      </c>
      <c r="BH127" s="592">
        <f t="shared" si="115"/>
        <v>703</v>
      </c>
    </row>
    <row r="128" spans="1:60" ht="14.5">
      <c r="A128" s="592">
        <f t="shared" si="116"/>
        <v>704</v>
      </c>
      <c r="B128" s="624"/>
      <c r="H128" s="719"/>
      <c r="J128" s="622"/>
      <c r="K128" s="608"/>
      <c r="L128" s="622"/>
      <c r="M128" s="608"/>
      <c r="N128" s="622"/>
      <c r="R128" s="608">
        <v>0</v>
      </c>
      <c r="S128" s="608"/>
      <c r="T128" s="608">
        <f t="shared" si="121"/>
        <v>0</v>
      </c>
      <c r="U128" s="608"/>
      <c r="V128" s="608">
        <v>0</v>
      </c>
      <c r="W128" s="608"/>
      <c r="X128" s="608">
        <f t="shared" si="122"/>
        <v>0</v>
      </c>
      <c r="Y128" s="608"/>
      <c r="Z128" s="708"/>
      <c r="AA128" s="608"/>
      <c r="AB128" s="622"/>
      <c r="AC128" s="608"/>
      <c r="AD128" s="622"/>
      <c r="AE128" s="608"/>
      <c r="AF128" s="622"/>
      <c r="AG128" s="608"/>
      <c r="AH128" s="708"/>
      <c r="AI128" s="608"/>
      <c r="AJ128" s="607">
        <f t="shared" si="117"/>
        <v>0</v>
      </c>
      <c r="AK128" s="608"/>
      <c r="AL128" s="607">
        <f t="shared" si="118"/>
        <v>0</v>
      </c>
      <c r="AM128" s="608"/>
      <c r="AN128" s="607">
        <f t="shared" si="119"/>
        <v>0</v>
      </c>
      <c r="AO128" s="608"/>
      <c r="AP128" s="608">
        <f t="shared" si="120"/>
        <v>0</v>
      </c>
      <c r="AR128" s="622"/>
      <c r="AS128" s="608"/>
      <c r="AT128" s="622"/>
      <c r="AU128" s="608"/>
      <c r="AV128" s="622"/>
      <c r="AW128" s="608"/>
      <c r="AX128" s="607">
        <f>+AJ128-AR128</f>
        <v>0</v>
      </c>
      <c r="AY128" s="608"/>
      <c r="AZ128" s="607">
        <f>+AL128-AT128</f>
        <v>0</v>
      </c>
      <c r="BA128" s="608"/>
      <c r="BB128" s="607">
        <f>+AN128-AV128</f>
        <v>0</v>
      </c>
      <c r="BC128" s="608"/>
      <c r="BD128" s="608">
        <f t="shared" si="123"/>
        <v>0</v>
      </c>
      <c r="BF128" s="708">
        <f>+N128*$BF$9</f>
        <v>0</v>
      </c>
      <c r="BH128" s="592">
        <f t="shared" si="115"/>
        <v>704</v>
      </c>
    </row>
    <row r="129" spans="1:60" ht="14.5">
      <c r="A129" s="592">
        <f>+A128+1</f>
        <v>705</v>
      </c>
      <c r="B129" s="624"/>
      <c r="H129" s="719"/>
      <c r="J129" s="622"/>
      <c r="K129" s="608"/>
      <c r="L129" s="622"/>
      <c r="M129" s="608"/>
      <c r="N129" s="622"/>
      <c r="R129" s="608">
        <v>0</v>
      </c>
      <c r="S129" s="608"/>
      <c r="T129" s="608">
        <f t="shared" si="121"/>
        <v>0</v>
      </c>
      <c r="U129" s="608"/>
      <c r="V129" s="608">
        <v>0</v>
      </c>
      <c r="W129" s="608"/>
      <c r="X129" s="608">
        <f t="shared" si="122"/>
        <v>0</v>
      </c>
      <c r="Y129" s="608"/>
      <c r="Z129" s="708"/>
      <c r="AA129" s="608"/>
      <c r="AB129" s="622"/>
      <c r="AC129" s="608"/>
      <c r="AD129" s="622"/>
      <c r="AE129" s="608"/>
      <c r="AF129" s="622"/>
      <c r="AG129" s="608"/>
      <c r="AH129" s="708"/>
      <c r="AI129" s="608"/>
      <c r="AJ129" s="607">
        <f t="shared" si="117"/>
        <v>0</v>
      </c>
      <c r="AK129" s="608"/>
      <c r="AL129" s="607">
        <f t="shared" si="118"/>
        <v>0</v>
      </c>
      <c r="AM129" s="608"/>
      <c r="AN129" s="607">
        <f t="shared" si="119"/>
        <v>0</v>
      </c>
      <c r="AO129" s="608"/>
      <c r="AP129" s="608">
        <f t="shared" si="120"/>
        <v>0</v>
      </c>
      <c r="AR129" s="622"/>
      <c r="AS129" s="608"/>
      <c r="AT129" s="622"/>
      <c r="AU129" s="608"/>
      <c r="AV129" s="622"/>
      <c r="AW129" s="608"/>
      <c r="AX129" s="607">
        <f>+AJ129-AR129</f>
        <v>0</v>
      </c>
      <c r="AY129" s="608"/>
      <c r="AZ129" s="607">
        <f>+AL129-AT129</f>
        <v>0</v>
      </c>
      <c r="BA129" s="608"/>
      <c r="BB129" s="607">
        <f>+AN129-AV129</f>
        <v>0</v>
      </c>
      <c r="BC129" s="608"/>
      <c r="BD129" s="608">
        <f t="shared" si="123"/>
        <v>0</v>
      </c>
      <c r="BF129" s="708">
        <f>+N129*$BF$9</f>
        <v>0</v>
      </c>
      <c r="BH129" s="592">
        <f t="shared" si="115"/>
        <v>705</v>
      </c>
    </row>
    <row r="133" spans="1:60">
      <c r="A133" s="781" t="s">
        <v>111</v>
      </c>
      <c r="B133" s="858" t="s">
        <v>1506</v>
      </c>
      <c r="C133" s="858"/>
      <c r="D133" s="858"/>
      <c r="E133" s="858"/>
      <c r="F133" s="858"/>
      <c r="G133" s="858"/>
      <c r="H133" s="858"/>
      <c r="I133" s="858"/>
      <c r="J133" s="858"/>
      <c r="K133" s="858"/>
      <c r="L133" s="858"/>
    </row>
    <row r="134" spans="1:60">
      <c r="A134" s="782" t="s">
        <v>1403</v>
      </c>
      <c r="B134" s="857" t="s">
        <v>1507</v>
      </c>
      <c r="C134" s="857"/>
      <c r="D134" s="857"/>
    </row>
    <row r="135" spans="1:60">
      <c r="A135" s="782" t="s">
        <v>1408</v>
      </c>
      <c r="B135" s="857" t="s">
        <v>1508</v>
      </c>
      <c r="C135" s="857"/>
      <c r="D135" s="857"/>
    </row>
    <row r="136" spans="1:60">
      <c r="A136" s="782" t="s">
        <v>1410</v>
      </c>
      <c r="B136" s="857" t="s">
        <v>1509</v>
      </c>
      <c r="C136" s="857"/>
      <c r="D136" s="857"/>
    </row>
    <row r="137" spans="1:60">
      <c r="A137" s="782" t="s">
        <v>1413</v>
      </c>
      <c r="B137" s="857" t="s">
        <v>1510</v>
      </c>
      <c r="C137" s="857"/>
      <c r="D137" s="857"/>
    </row>
    <row r="138" spans="1:60">
      <c r="A138" s="782" t="s">
        <v>1419</v>
      </c>
      <c r="B138" s="857" t="s">
        <v>1511</v>
      </c>
      <c r="C138" s="857"/>
      <c r="D138" s="857"/>
    </row>
    <row r="139" spans="1:60">
      <c r="A139" s="782" t="s">
        <v>1381</v>
      </c>
      <c r="B139" s="857" t="s">
        <v>1512</v>
      </c>
      <c r="C139" s="857"/>
      <c r="D139" s="857"/>
    </row>
    <row r="140" spans="1:60">
      <c r="A140" s="782" t="s">
        <v>1513</v>
      </c>
      <c r="B140" s="857" t="s">
        <v>1514</v>
      </c>
      <c r="C140" s="857"/>
      <c r="D140" s="857"/>
    </row>
    <row r="141" spans="1:60">
      <c r="A141" s="782" t="s">
        <v>1515</v>
      </c>
      <c r="B141" s="857" t="s">
        <v>1516</v>
      </c>
      <c r="C141" s="857"/>
      <c r="D141" s="857"/>
    </row>
    <row r="142" spans="1:60">
      <c r="A142" s="782" t="s">
        <v>1517</v>
      </c>
      <c r="B142" s="701" t="s">
        <v>1518</v>
      </c>
      <c r="C142" s="701"/>
      <c r="D142" s="701"/>
    </row>
    <row r="144" spans="1:60">
      <c r="K144" s="587" t="e">
        <f>E30/E144*E151</f>
        <v>#DIV/0!</v>
      </c>
    </row>
    <row r="160" spans="10:10">
      <c r="J160" s="587">
        <f>E160-D160</f>
        <v>0</v>
      </c>
    </row>
  </sheetData>
  <mergeCells count="18">
    <mergeCell ref="AX4:BB4"/>
    <mergeCell ref="AX7:BD7"/>
    <mergeCell ref="R7:X7"/>
    <mergeCell ref="AJ7:AP7"/>
    <mergeCell ref="J4:N4"/>
    <mergeCell ref="R4:V4"/>
    <mergeCell ref="AJ4:AN4"/>
    <mergeCell ref="AB6:AF6"/>
    <mergeCell ref="AR6:AV6"/>
    <mergeCell ref="B138:D138"/>
    <mergeCell ref="B139:D139"/>
    <mergeCell ref="B140:D140"/>
    <mergeCell ref="B141:D141"/>
    <mergeCell ref="B133:L133"/>
    <mergeCell ref="B134:D134"/>
    <mergeCell ref="B135:D135"/>
    <mergeCell ref="B136:D136"/>
    <mergeCell ref="B137:D137"/>
  </mergeCells>
  <printOptions horizontalCentered="1"/>
  <pageMargins left="1" right="1" top="1" bottom="1" header="0.5" footer="0.5"/>
  <pageSetup scale="16"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olBreaks count="3" manualBreakCount="3">
    <brk id="17" max="1048575" man="1"/>
    <brk id="34" max="1048575" man="1"/>
    <brk id="49" max="1048575" man="1"/>
  </colBreaks>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2"/>
  <sheetViews>
    <sheetView view="pageBreakPreview" zoomScale="60" workbookViewId="0">
      <selection activeCell="E174" sqref="E174"/>
    </sheetView>
  </sheetViews>
  <sheetFormatPr defaultRowHeight="14.5"/>
  <cols>
    <col min="1" max="1" width="19.7265625" customWidth="1"/>
    <col min="2" max="2" width="26.453125" bestFit="1" customWidth="1"/>
    <col min="3" max="3" width="28.54296875" bestFit="1" customWidth="1"/>
    <col min="4" max="4" width="97.26953125" bestFit="1" customWidth="1"/>
    <col min="5" max="9" width="9.1796875" customWidth="1"/>
  </cols>
  <sheetData>
    <row r="1" spans="1:9">
      <c r="A1" s="12" t="s">
        <v>76</v>
      </c>
    </row>
    <row r="3" spans="1:9">
      <c r="A3" s="12" t="s">
        <v>77</v>
      </c>
    </row>
    <row r="4" spans="1:9">
      <c r="A4" s="834" t="s">
        <v>78</v>
      </c>
      <c r="B4" s="834"/>
      <c r="C4" s="834"/>
      <c r="D4" s="834"/>
      <c r="E4" s="45"/>
      <c r="F4" s="45"/>
      <c r="G4" s="45"/>
      <c r="H4" s="45"/>
      <c r="I4" s="45"/>
    </row>
    <row r="6" spans="1:9">
      <c r="A6" s="12" t="s">
        <v>79</v>
      </c>
    </row>
    <row r="7" spans="1:9">
      <c r="A7" s="834" t="s">
        <v>80</v>
      </c>
      <c r="B7" s="834"/>
      <c r="C7" s="834"/>
      <c r="D7" s="834"/>
      <c r="E7" s="45"/>
      <c r="F7" s="45"/>
      <c r="G7" s="45"/>
      <c r="H7" s="45"/>
      <c r="I7" s="45"/>
    </row>
    <row r="9" spans="1:9">
      <c r="A9" s="12" t="s">
        <v>81</v>
      </c>
    </row>
    <row r="10" spans="1:9" ht="29.25" customHeight="1">
      <c r="A10" s="834" t="s">
        <v>82</v>
      </c>
      <c r="B10" s="834"/>
      <c r="C10" s="834"/>
      <c r="D10" s="834"/>
      <c r="E10" s="45"/>
      <c r="F10" s="45"/>
      <c r="G10" s="45"/>
      <c r="H10" s="45"/>
      <c r="I10" s="45"/>
    </row>
    <row r="12" spans="1:9">
      <c r="A12" s="12" t="s">
        <v>83</v>
      </c>
    </row>
    <row r="13" spans="1:9" ht="45.75" customHeight="1">
      <c r="A13" s="834" t="s">
        <v>84</v>
      </c>
      <c r="B13" s="834"/>
      <c r="C13" s="834"/>
      <c r="D13" s="834"/>
      <c r="E13" s="45"/>
      <c r="F13" s="45"/>
      <c r="G13" s="45"/>
      <c r="H13" s="45"/>
      <c r="I13" s="45"/>
    </row>
    <row r="15" spans="1:9">
      <c r="A15" s="12" t="s">
        <v>85</v>
      </c>
    </row>
    <row r="16" spans="1:9" ht="30" customHeight="1">
      <c r="A16" s="834" t="s">
        <v>86</v>
      </c>
      <c r="B16" s="834"/>
      <c r="C16" s="834"/>
      <c r="D16" s="834"/>
      <c r="E16" s="45"/>
      <c r="F16" s="45"/>
      <c r="G16" s="45"/>
      <c r="H16" s="45"/>
      <c r="I16" s="45"/>
    </row>
    <row r="17" spans="1:9">
      <c r="A17" s="7"/>
      <c r="B17" s="7"/>
      <c r="C17" s="7"/>
      <c r="D17" s="7"/>
      <c r="E17" s="7"/>
      <c r="F17" s="7"/>
      <c r="G17" s="7"/>
      <c r="H17" s="7"/>
      <c r="I17" s="7"/>
    </row>
    <row r="18" spans="1:9" ht="30.75" customHeight="1">
      <c r="A18" s="834" t="s">
        <v>87</v>
      </c>
      <c r="B18" s="834"/>
      <c r="C18" s="834"/>
      <c r="D18" s="834"/>
      <c r="E18" s="45"/>
      <c r="F18" s="45"/>
      <c r="G18" s="45"/>
      <c r="H18" s="45"/>
      <c r="I18" s="45"/>
    </row>
    <row r="20" spans="1:9">
      <c r="A20" s="12" t="s">
        <v>88</v>
      </c>
    </row>
    <row r="21" spans="1:9">
      <c r="A21" s="419" t="s">
        <v>89</v>
      </c>
      <c r="B21" s="419" t="s">
        <v>90</v>
      </c>
      <c r="C21" s="419" t="s">
        <v>91</v>
      </c>
      <c r="D21" s="419" t="s">
        <v>92</v>
      </c>
    </row>
    <row r="22" spans="1:9">
      <c r="A22" s="422" t="s">
        <v>93</v>
      </c>
      <c r="B22" s="422" t="s">
        <v>94</v>
      </c>
      <c r="C22" s="422" t="s">
        <v>95</v>
      </c>
      <c r="D22" s="422"/>
    </row>
    <row r="23" spans="1:9">
      <c r="A23" s="421"/>
      <c r="B23" s="421"/>
      <c r="C23" s="421"/>
      <c r="D23" s="421"/>
    </row>
    <row r="24" spans="1:9">
      <c r="A24" s="422" t="s">
        <v>96</v>
      </c>
      <c r="B24" s="422" t="s">
        <v>97</v>
      </c>
      <c r="C24" s="422" t="s">
        <v>98</v>
      </c>
      <c r="D24" s="422"/>
    </row>
    <row r="25" spans="1:9">
      <c r="A25" s="421"/>
      <c r="B25" s="421"/>
      <c r="C25" s="421" t="s">
        <v>99</v>
      </c>
      <c r="D25" s="421"/>
    </row>
    <row r="26" spans="1:9">
      <c r="A26" s="422" t="s">
        <v>100</v>
      </c>
      <c r="B26" s="422" t="s">
        <v>101</v>
      </c>
      <c r="C26" s="422" t="s">
        <v>102</v>
      </c>
      <c r="D26" s="422" t="s">
        <v>103</v>
      </c>
    </row>
    <row r="27" spans="1:9">
      <c r="A27" s="421" t="s">
        <v>104</v>
      </c>
      <c r="B27" s="421"/>
      <c r="C27" s="421"/>
      <c r="D27" s="421"/>
    </row>
    <row r="28" spans="1:9">
      <c r="A28" s="422" t="s">
        <v>100</v>
      </c>
      <c r="B28" s="422" t="s">
        <v>105</v>
      </c>
      <c r="C28" s="422" t="s">
        <v>106</v>
      </c>
      <c r="D28" s="422" t="s">
        <v>107</v>
      </c>
    </row>
    <row r="29" spans="1:9">
      <c r="A29" s="421" t="s">
        <v>108</v>
      </c>
      <c r="B29" s="421"/>
      <c r="C29" s="421"/>
      <c r="D29" s="421"/>
    </row>
    <row r="30" spans="1:9">
      <c r="A30" s="422" t="s">
        <v>109</v>
      </c>
      <c r="B30" s="422" t="s">
        <v>110</v>
      </c>
      <c r="C30" s="422" t="s">
        <v>111</v>
      </c>
      <c r="D30" s="422"/>
    </row>
    <row r="31" spans="1:9">
      <c r="A31" s="420"/>
      <c r="B31" s="420"/>
      <c r="C31" s="420" t="s">
        <v>112</v>
      </c>
      <c r="D31" s="420"/>
    </row>
    <row r="32" spans="1:9">
      <c r="A32" s="421"/>
      <c r="B32" s="421"/>
      <c r="C32" s="421" t="s">
        <v>113</v>
      </c>
      <c r="D32" s="421"/>
    </row>
    <row r="33" spans="1:4">
      <c r="A33" s="422" t="s">
        <v>114</v>
      </c>
      <c r="B33" s="422" t="s">
        <v>115</v>
      </c>
      <c r="C33" s="422" t="s">
        <v>116</v>
      </c>
      <c r="D33" s="422" t="s">
        <v>117</v>
      </c>
    </row>
    <row r="34" spans="1:4">
      <c r="A34" s="421"/>
      <c r="B34" s="421"/>
      <c r="C34" s="421" t="s">
        <v>118</v>
      </c>
      <c r="D34" s="421"/>
    </row>
    <row r="35" spans="1:4">
      <c r="A35" s="422" t="s">
        <v>5</v>
      </c>
      <c r="B35" s="422" t="s">
        <v>119</v>
      </c>
      <c r="C35" s="422" t="s">
        <v>35</v>
      </c>
      <c r="D35" s="422" t="s">
        <v>120</v>
      </c>
    </row>
    <row r="36" spans="1:4">
      <c r="A36" s="421"/>
      <c r="B36" s="421"/>
      <c r="C36" s="421"/>
      <c r="D36" s="421"/>
    </row>
    <row r="37" spans="1:4">
      <c r="A37" s="422" t="s">
        <v>121</v>
      </c>
      <c r="B37" s="422" t="s">
        <v>122</v>
      </c>
      <c r="C37" s="422" t="s">
        <v>123</v>
      </c>
      <c r="D37" s="422" t="s">
        <v>124</v>
      </c>
    </row>
    <row r="38" spans="1:4">
      <c r="A38" s="420"/>
      <c r="B38" s="420"/>
      <c r="C38" s="420"/>
      <c r="D38" s="420"/>
    </row>
    <row r="39" spans="1:4">
      <c r="A39" s="420"/>
      <c r="B39" s="420"/>
      <c r="C39" s="420" t="s">
        <v>125</v>
      </c>
      <c r="D39" s="420"/>
    </row>
    <row r="40" spans="1:4">
      <c r="A40" s="421"/>
      <c r="B40" s="421"/>
      <c r="C40" s="421"/>
      <c r="D40" s="421"/>
    </row>
    <row r="41" spans="1:4">
      <c r="A41" s="422" t="s">
        <v>126</v>
      </c>
      <c r="B41" s="517" t="s">
        <v>127</v>
      </c>
      <c r="C41" s="518" t="s">
        <v>127</v>
      </c>
      <c r="D41" s="832" t="s">
        <v>128</v>
      </c>
    </row>
    <row r="42" spans="1:4">
      <c r="A42" s="421"/>
      <c r="B42" s="236"/>
      <c r="C42" s="421"/>
      <c r="D42" s="833"/>
    </row>
  </sheetData>
  <mergeCells count="7">
    <mergeCell ref="D41:D42"/>
    <mergeCell ref="A16:D16"/>
    <mergeCell ref="A18:D18"/>
    <mergeCell ref="A4:D4"/>
    <mergeCell ref="A7:D7"/>
    <mergeCell ref="A10:D10"/>
    <mergeCell ref="A13:D13"/>
  </mergeCells>
  <pageMargins left="0.7" right="0.7" top="0.75" bottom="0.75" header="0.3" footer="0.3"/>
  <pageSetup scale="71" orientation="landscape" r:id="rId1"/>
  <customProperties>
    <customPr name="_pios_id" r:id="rId2"/>
    <customPr name="EpmWorksheetKeyString_GUID" r:id="rId3"/>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0892E-67A1-4EEA-95B4-269B8AE72B1F}">
  <sheetPr>
    <pageSetUpPr fitToPage="1"/>
  </sheetPr>
  <dimension ref="A1:BJ160"/>
  <sheetViews>
    <sheetView tabSelected="1" view="pageBreakPreview" topLeftCell="A57" zoomScale="40" zoomScaleNormal="55" zoomScaleSheetLayoutView="40" zoomScalePageLayoutView="55" workbookViewId="0">
      <selection activeCell="E174" sqref="E174"/>
    </sheetView>
  </sheetViews>
  <sheetFormatPr defaultColWidth="9.1796875" defaultRowHeight="14.5"/>
  <cols>
    <col min="1" max="1" width="6.7265625" style="701" bestFit="1" customWidth="1"/>
    <col min="2" max="2" width="50.453125" style="701" customWidth="1"/>
    <col min="3" max="3" width="31" style="701" customWidth="1"/>
    <col min="4" max="4" width="26.26953125" style="701" customWidth="1"/>
    <col min="5" max="5" width="0.81640625" style="701" customWidth="1"/>
    <col min="6" max="6" width="17.453125" style="711" bestFit="1" customWidth="1"/>
    <col min="7" max="7" width="1.1796875" style="701" customWidth="1"/>
    <col min="8" max="8" width="15.1796875" style="701" bestFit="1" customWidth="1"/>
    <col min="9" max="9" width="1.7265625" style="701" customWidth="1"/>
    <col min="10" max="10" width="13.453125" style="701" customWidth="1"/>
    <col min="11" max="11" width="25.1796875" style="701" customWidth="1"/>
    <col min="12" max="12" width="15.81640625" style="701" bestFit="1" customWidth="1"/>
    <col min="13" max="13" width="1.7265625" style="701" customWidth="1"/>
    <col min="14" max="14" width="17.453125" style="701" bestFit="1" customWidth="1"/>
    <col min="15" max="15" width="1.453125" style="701" customWidth="1"/>
    <col min="16" max="16" width="9.1796875" style="17"/>
    <col min="17" max="17" width="1.7265625" style="701" customWidth="1"/>
    <col min="18" max="18" width="22.1796875" style="701" customWidth="1"/>
    <col min="19" max="19" width="1.7265625" style="701" customWidth="1"/>
    <col min="20" max="20" width="20.26953125" style="701" customWidth="1"/>
    <col min="21" max="21" width="1.7265625" style="701" customWidth="1"/>
    <col min="22" max="22" width="17.7265625" style="701" customWidth="1"/>
    <col min="23" max="23" width="1.7265625" style="701" customWidth="1"/>
    <col min="24" max="24" width="19" style="701" customWidth="1"/>
    <col min="25" max="25" width="1.7265625" style="701" customWidth="1"/>
    <col min="26" max="26" width="19.81640625" style="701" customWidth="1"/>
    <col min="27" max="27" width="1.7265625" style="701" customWidth="1"/>
    <col min="28" max="28" width="24.54296875" style="701" bestFit="1" customWidth="1"/>
    <col min="29" max="29" width="1.7265625" style="701" customWidth="1"/>
    <col min="30" max="30" width="18.1796875" style="701" customWidth="1"/>
    <col min="31" max="31" width="1.7265625" style="701" customWidth="1"/>
    <col min="32" max="32" width="19.1796875" style="701" customWidth="1"/>
    <col min="33" max="33" width="1.7265625" style="701" customWidth="1"/>
    <col min="34" max="34" width="18.81640625" style="701" customWidth="1"/>
    <col min="35" max="35" width="1.7265625" style="701" customWidth="1"/>
    <col min="36" max="36" width="21.81640625" style="701" bestFit="1" customWidth="1"/>
    <col min="37" max="37" width="1.7265625" style="701" customWidth="1"/>
    <col min="38" max="38" width="26.26953125" style="701" customWidth="1"/>
    <col min="39" max="39" width="1.7265625" style="701" customWidth="1"/>
    <col min="40" max="40" width="26.54296875" style="701" customWidth="1"/>
    <col min="41" max="41" width="1.7265625" style="701" customWidth="1"/>
    <col min="42" max="42" width="25.54296875" style="701" customWidth="1"/>
    <col min="43" max="43" width="1.7265625" style="701" customWidth="1"/>
    <col min="44" max="44" width="21.81640625" style="701" customWidth="1"/>
    <col min="45" max="45" width="1.7265625" style="701" customWidth="1"/>
    <col min="46" max="46" width="18.81640625" style="701" customWidth="1"/>
    <col min="47" max="47" width="1.7265625" style="701" customWidth="1"/>
    <col min="48" max="48" width="19.1796875" style="701" customWidth="1"/>
    <col min="49" max="49" width="1.7265625" style="701" customWidth="1"/>
    <col min="50" max="50" width="20.54296875" style="701" customWidth="1"/>
    <col min="51" max="51" width="1.7265625" style="701" customWidth="1"/>
    <col min="52" max="52" width="22.453125" style="701" customWidth="1"/>
    <col min="53" max="53" width="1.7265625" style="701" customWidth="1"/>
    <col min="54" max="54" width="23.1796875" style="701" customWidth="1"/>
    <col min="55" max="55" width="1.7265625" style="701" customWidth="1"/>
    <col min="56" max="56" width="22.54296875" style="701" customWidth="1"/>
    <col min="57" max="57" width="1.7265625" style="701" customWidth="1"/>
    <col min="58" max="58" width="25.453125" style="701" customWidth="1"/>
    <col min="59" max="59" width="2.1796875" style="701" customWidth="1"/>
    <col min="60" max="60" width="17.7265625" style="701" customWidth="1"/>
    <col min="61" max="61" width="22.7265625" style="701" bestFit="1" customWidth="1"/>
    <col min="62" max="62" width="4.7265625" style="701" bestFit="1" customWidth="1"/>
    <col min="63" max="16384" width="9.1796875" style="701"/>
  </cols>
  <sheetData>
    <row r="1" spans="1:62">
      <c r="B1" s="92" t="s">
        <v>1338</v>
      </c>
      <c r="C1" s="92"/>
      <c r="D1" s="92"/>
      <c r="E1" s="92"/>
      <c r="F1" s="77"/>
      <c r="G1" s="92"/>
      <c r="H1" s="92"/>
      <c r="I1" s="92"/>
      <c r="J1" s="92"/>
      <c r="K1" s="92"/>
      <c r="L1" s="92"/>
      <c r="M1" s="92"/>
      <c r="N1" s="92"/>
      <c r="O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132" t="str">
        <f>CONCATENATE("Prior Year: ",'1-BaseTRR'!$G$2)</f>
        <v>Prior Year: 2021</v>
      </c>
    </row>
    <row r="2" spans="1:62">
      <c r="A2" s="92"/>
      <c r="B2" s="620" t="s">
        <v>131</v>
      </c>
      <c r="C2" s="620"/>
      <c r="D2" s="92"/>
      <c r="E2" s="92"/>
      <c r="F2" s="77"/>
      <c r="G2" s="92"/>
      <c r="H2" s="92"/>
      <c r="I2" s="92"/>
      <c r="J2" s="92"/>
      <c r="K2" s="92"/>
      <c r="L2" s="92"/>
      <c r="M2" s="92"/>
      <c r="N2" s="92"/>
      <c r="O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row>
    <row r="3" spans="1:62">
      <c r="A3" s="77"/>
      <c r="B3" s="77"/>
      <c r="C3" s="77"/>
      <c r="D3" s="77"/>
      <c r="E3" s="77"/>
      <c r="F3" s="77"/>
      <c r="G3" s="77"/>
      <c r="H3" s="77"/>
      <c r="I3" s="77"/>
      <c r="J3" s="77"/>
      <c r="K3" s="77"/>
      <c r="L3" s="77"/>
      <c r="M3" s="77"/>
      <c r="N3" s="77"/>
      <c r="O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row>
    <row r="4" spans="1:62">
      <c r="J4" s="862" t="s">
        <v>1339</v>
      </c>
      <c r="K4" s="862"/>
      <c r="L4" s="862"/>
      <c r="M4" s="862"/>
      <c r="N4" s="862"/>
      <c r="O4" s="711"/>
      <c r="Q4" s="711"/>
      <c r="R4" s="707" t="s">
        <v>1340</v>
      </c>
      <c r="T4" s="862" t="s">
        <v>1341</v>
      </c>
      <c r="U4" s="862"/>
      <c r="V4" s="862"/>
      <c r="W4" s="862"/>
      <c r="X4" s="862"/>
      <c r="AB4" s="712" t="s">
        <v>1342</v>
      </c>
      <c r="AJ4" s="707" t="s">
        <v>1343</v>
      </c>
      <c r="AK4" s="711"/>
      <c r="AL4" s="862" t="s">
        <v>1341</v>
      </c>
      <c r="AM4" s="862"/>
      <c r="AN4" s="862"/>
      <c r="AO4" s="862"/>
      <c r="AP4" s="862"/>
      <c r="AQ4" s="711"/>
      <c r="AR4" s="711"/>
      <c r="AZ4" s="862" t="s">
        <v>1341</v>
      </c>
      <c r="BA4" s="862"/>
      <c r="BB4" s="862"/>
      <c r="BC4" s="862"/>
      <c r="BD4" s="862"/>
      <c r="BE4" s="711"/>
      <c r="BF4" s="711"/>
      <c r="BG4" s="711"/>
      <c r="BH4" s="711"/>
    </row>
    <row r="5" spans="1:62">
      <c r="A5" s="699"/>
      <c r="B5" s="699"/>
      <c r="C5" s="699"/>
      <c r="D5" s="699"/>
      <c r="E5" s="699"/>
      <c r="F5" s="702"/>
      <c r="G5" s="699"/>
      <c r="H5" s="591" t="s">
        <v>1344</v>
      </c>
      <c r="I5" s="699"/>
      <c r="J5" s="591" t="s">
        <v>371</v>
      </c>
      <c r="K5" s="591"/>
      <c r="L5" s="591" t="s">
        <v>372</v>
      </c>
      <c r="M5" s="591"/>
      <c r="N5" s="591" t="s">
        <v>373</v>
      </c>
      <c r="O5" s="591"/>
      <c r="Q5" s="591"/>
      <c r="R5" s="591" t="s">
        <v>374</v>
      </c>
      <c r="S5" s="591"/>
      <c r="T5" s="591" t="s">
        <v>375</v>
      </c>
      <c r="U5" s="591"/>
      <c r="V5" s="591" t="s">
        <v>376</v>
      </c>
      <c r="W5" s="591"/>
      <c r="X5" s="591" t="s">
        <v>377</v>
      </c>
      <c r="Y5" s="591"/>
      <c r="Z5" s="591" t="s">
        <v>378</v>
      </c>
      <c r="AA5" s="591"/>
      <c r="AB5" s="591" t="s">
        <v>409</v>
      </c>
      <c r="AC5" s="592"/>
      <c r="AD5" s="592" t="s">
        <v>525</v>
      </c>
      <c r="AE5" s="592"/>
      <c r="AF5" s="592" t="s">
        <v>526</v>
      </c>
      <c r="AG5" s="592"/>
      <c r="AH5" s="592" t="s">
        <v>527</v>
      </c>
      <c r="AI5" s="592"/>
      <c r="AJ5" s="713" t="s">
        <v>528</v>
      </c>
      <c r="AK5" s="592"/>
      <c r="AL5" s="592" t="s">
        <v>529</v>
      </c>
      <c r="AM5" s="592"/>
      <c r="AN5" s="592" t="s">
        <v>1345</v>
      </c>
      <c r="AO5" s="592"/>
      <c r="AP5" s="592" t="s">
        <v>1346</v>
      </c>
      <c r="AQ5" s="592"/>
      <c r="AR5" s="592" t="s">
        <v>1347</v>
      </c>
      <c r="AS5" s="592"/>
      <c r="AT5" s="592" t="s">
        <v>1348</v>
      </c>
      <c r="AU5" s="592"/>
      <c r="AV5" s="592" t="s">
        <v>1349</v>
      </c>
      <c r="AW5" s="592"/>
      <c r="AX5" s="592" t="s">
        <v>1350</v>
      </c>
      <c r="AY5" s="592"/>
      <c r="AZ5" s="591" t="s">
        <v>1351</v>
      </c>
      <c r="BA5" s="591"/>
      <c r="BB5" s="591" t="s">
        <v>1352</v>
      </c>
      <c r="BC5" s="591"/>
      <c r="BD5" s="591" t="s">
        <v>1353</v>
      </c>
      <c r="BE5" s="591"/>
      <c r="BF5" s="591" t="s">
        <v>1354</v>
      </c>
      <c r="BG5" s="592"/>
      <c r="BH5" s="591">
        <v>25</v>
      </c>
      <c r="BI5" s="699"/>
      <c r="BJ5" s="699"/>
    </row>
    <row r="6" spans="1:62" ht="28.5" customHeight="1">
      <c r="A6" s="699"/>
      <c r="B6" s="699"/>
      <c r="C6" s="699"/>
      <c r="D6" s="699"/>
      <c r="E6" s="699"/>
      <c r="F6" s="702"/>
      <c r="G6" s="699"/>
      <c r="H6" s="592"/>
      <c r="I6" s="699"/>
      <c r="J6" s="592"/>
      <c r="K6" s="592"/>
      <c r="L6" s="592"/>
      <c r="M6" s="592"/>
      <c r="N6" s="592" t="s">
        <v>1356</v>
      </c>
      <c r="O6" s="592"/>
      <c r="P6" s="701"/>
      <c r="Q6" s="592"/>
      <c r="R6" s="592"/>
      <c r="S6" s="592"/>
      <c r="T6" s="591"/>
      <c r="U6" s="591"/>
      <c r="V6" s="591"/>
      <c r="W6" s="591"/>
      <c r="X6" s="591"/>
      <c r="Y6" s="591"/>
      <c r="Z6" s="591" t="s">
        <v>1357</v>
      </c>
      <c r="AA6" s="592"/>
      <c r="AB6" s="592"/>
      <c r="AC6" s="592"/>
      <c r="AD6" s="863" t="s">
        <v>1519</v>
      </c>
      <c r="AE6" s="863"/>
      <c r="AF6" s="863"/>
      <c r="AG6" s="863"/>
      <c r="AH6" s="863"/>
      <c r="AI6" s="592"/>
      <c r="AJ6" s="592"/>
      <c r="AK6" s="592"/>
      <c r="AL6" s="592" t="s">
        <v>1359</v>
      </c>
      <c r="AM6" s="592"/>
      <c r="AN6" s="592" t="s">
        <v>1360</v>
      </c>
      <c r="AO6" s="592"/>
      <c r="AP6" s="592" t="s">
        <v>1361</v>
      </c>
      <c r="AQ6" s="592"/>
      <c r="AR6" s="592" t="s">
        <v>1362</v>
      </c>
      <c r="AS6" s="592"/>
      <c r="AT6" s="863" t="s">
        <v>1520</v>
      </c>
      <c r="AU6" s="863"/>
      <c r="AV6" s="863"/>
      <c r="AW6" s="863"/>
      <c r="AX6" s="863"/>
      <c r="AY6" s="592"/>
      <c r="AZ6" s="592" t="s">
        <v>1364</v>
      </c>
      <c r="BA6" s="592"/>
      <c r="BB6" s="592" t="s">
        <v>1365</v>
      </c>
      <c r="BC6" s="592"/>
      <c r="BD6" s="592" t="s">
        <v>1366</v>
      </c>
      <c r="BE6" s="592"/>
      <c r="BF6" s="592" t="s">
        <v>1367</v>
      </c>
      <c r="BG6" s="592"/>
      <c r="BH6" s="705" t="s">
        <v>1368</v>
      </c>
      <c r="BI6" s="699"/>
      <c r="BJ6" s="699"/>
    </row>
    <row r="7" spans="1:62" ht="29">
      <c r="B7" s="593"/>
      <c r="C7" s="593"/>
      <c r="D7" s="593"/>
      <c r="E7" s="593"/>
      <c r="F7" s="595" t="s">
        <v>1369</v>
      </c>
      <c r="G7" s="593"/>
      <c r="H7" s="594" t="s">
        <v>1370</v>
      </c>
      <c r="I7" s="593"/>
      <c r="J7" s="594" t="s">
        <v>1371</v>
      </c>
      <c r="K7" s="593"/>
      <c r="L7" s="594" t="s">
        <v>1372</v>
      </c>
      <c r="M7" s="593"/>
      <c r="N7" s="705" t="s">
        <v>1521</v>
      </c>
      <c r="O7" s="595"/>
      <c r="Q7" s="595"/>
      <c r="R7" s="595" t="s">
        <v>647</v>
      </c>
      <c r="S7" s="593"/>
      <c r="T7" s="860" t="s">
        <v>1522</v>
      </c>
      <c r="U7" s="860"/>
      <c r="V7" s="860"/>
      <c r="W7" s="860"/>
      <c r="X7" s="860"/>
      <c r="Y7" s="860"/>
      <c r="Z7" s="860"/>
      <c r="AA7" s="594"/>
      <c r="AB7" s="594"/>
      <c r="AC7" s="594"/>
      <c r="AD7" s="594" t="s">
        <v>449</v>
      </c>
      <c r="AE7" s="594"/>
      <c r="AF7" s="594" t="s">
        <v>449</v>
      </c>
      <c r="AG7" s="594"/>
      <c r="AH7" s="594" t="s">
        <v>449</v>
      </c>
      <c r="AI7" s="594"/>
      <c r="AJ7" s="594" t="s">
        <v>647</v>
      </c>
      <c r="AK7" s="594"/>
      <c r="AL7" s="860" t="s">
        <v>1523</v>
      </c>
      <c r="AM7" s="860"/>
      <c r="AN7" s="860"/>
      <c r="AO7" s="860"/>
      <c r="AP7" s="860"/>
      <c r="AQ7" s="860"/>
      <c r="AR7" s="860"/>
      <c r="AS7" s="594"/>
      <c r="AT7" s="594" t="s">
        <v>449</v>
      </c>
      <c r="AU7" s="594"/>
      <c r="AV7" s="594" t="s">
        <v>449</v>
      </c>
      <c r="AW7" s="594"/>
      <c r="AX7" s="594" t="s">
        <v>449</v>
      </c>
      <c r="AY7" s="594"/>
      <c r="AZ7" s="860" t="s">
        <v>1524</v>
      </c>
      <c r="BA7" s="860"/>
      <c r="BB7" s="860"/>
      <c r="BC7" s="860"/>
      <c r="BD7" s="860"/>
      <c r="BE7" s="860"/>
      <c r="BF7" s="860"/>
      <c r="BG7" s="594"/>
      <c r="BH7" s="705" t="s">
        <v>1373</v>
      </c>
      <c r="BI7" s="593"/>
    </row>
    <row r="8" spans="1:62" ht="26.5">
      <c r="B8" s="593"/>
      <c r="C8" s="593"/>
      <c r="D8" s="593"/>
      <c r="E8" s="593"/>
      <c r="F8" s="595" t="s">
        <v>1377</v>
      </c>
      <c r="G8" s="593"/>
      <c r="H8" s="594" t="s">
        <v>1378</v>
      </c>
      <c r="I8" s="593"/>
      <c r="J8" s="594" t="s">
        <v>1525</v>
      </c>
      <c r="K8" s="593"/>
      <c r="L8" s="594" t="s">
        <v>1380</v>
      </c>
      <c r="M8" s="593"/>
      <c r="N8" s="720" t="s">
        <v>1526</v>
      </c>
      <c r="O8" s="595"/>
      <c r="Q8" s="595"/>
      <c r="R8" s="595" t="s">
        <v>1382</v>
      </c>
      <c r="S8" s="593"/>
      <c r="T8" s="594" t="s">
        <v>1383</v>
      </c>
      <c r="U8" s="594"/>
      <c r="V8" s="594" t="s">
        <v>1383</v>
      </c>
      <c r="W8" s="594"/>
      <c r="X8" s="594" t="s">
        <v>1383</v>
      </c>
      <c r="Y8" s="594"/>
      <c r="Z8" s="594"/>
      <c r="AA8" s="594"/>
      <c r="AB8" s="594" t="s">
        <v>449</v>
      </c>
      <c r="AC8" s="594"/>
      <c r="AD8" s="594" t="s">
        <v>1384</v>
      </c>
      <c r="AE8" s="594"/>
      <c r="AF8" s="594" t="s">
        <v>1384</v>
      </c>
      <c r="AG8" s="594"/>
      <c r="AH8" s="594" t="s">
        <v>1384</v>
      </c>
      <c r="AI8" s="594"/>
      <c r="AJ8" s="594" t="s">
        <v>1385</v>
      </c>
      <c r="AK8" s="594"/>
      <c r="AL8" s="594" t="s">
        <v>1386</v>
      </c>
      <c r="AM8" s="594"/>
      <c r="AN8" s="594" t="s">
        <v>1386</v>
      </c>
      <c r="AO8" s="594"/>
      <c r="AP8" s="594" t="s">
        <v>1386</v>
      </c>
      <c r="AQ8" s="594"/>
      <c r="AR8" s="594"/>
      <c r="AS8" s="594"/>
      <c r="AT8" s="594" t="s">
        <v>1384</v>
      </c>
      <c r="AU8" s="594"/>
      <c r="AV8" s="594" t="s">
        <v>1384</v>
      </c>
      <c r="AW8" s="594"/>
      <c r="AX8" s="594" t="s">
        <v>1384</v>
      </c>
      <c r="AY8" s="594"/>
      <c r="AZ8" s="594" t="s">
        <v>1386</v>
      </c>
      <c r="BA8" s="594"/>
      <c r="BB8" s="594" t="s">
        <v>1386</v>
      </c>
      <c r="BC8" s="594"/>
      <c r="BD8" s="594" t="s">
        <v>1386</v>
      </c>
      <c r="BE8" s="594"/>
      <c r="BF8" s="594"/>
      <c r="BG8" s="594"/>
      <c r="BH8" s="715" t="s">
        <v>1387</v>
      </c>
      <c r="BI8" s="593"/>
    </row>
    <row r="9" spans="1:62">
      <c r="A9" s="592"/>
      <c r="B9" s="699"/>
      <c r="C9" s="699"/>
      <c r="D9" s="699"/>
      <c r="E9" s="699"/>
      <c r="F9" s="595" t="s">
        <v>1388</v>
      </c>
      <c r="G9" s="699"/>
      <c r="H9" s="594" t="s">
        <v>1389</v>
      </c>
      <c r="I9" s="699"/>
      <c r="J9" s="721" t="s">
        <v>1391</v>
      </c>
      <c r="K9" s="699"/>
      <c r="L9" s="721" t="s">
        <v>1527</v>
      </c>
      <c r="M9" s="699"/>
      <c r="N9" s="702" t="s">
        <v>448</v>
      </c>
      <c r="O9" s="702"/>
      <c r="Q9" s="702"/>
      <c r="R9" s="702" t="s">
        <v>1388</v>
      </c>
      <c r="S9" s="699"/>
      <c r="T9" s="594" t="s">
        <v>1392</v>
      </c>
      <c r="U9" s="594"/>
      <c r="V9" s="592" t="s">
        <v>1393</v>
      </c>
      <c r="W9" s="592"/>
      <c r="X9" s="598" t="s">
        <v>1393</v>
      </c>
      <c r="Y9" s="598"/>
      <c r="Z9" s="598" t="s">
        <v>1383</v>
      </c>
      <c r="AA9" s="598"/>
      <c r="AB9" s="598" t="s">
        <v>1394</v>
      </c>
      <c r="AC9" s="598"/>
      <c r="AD9" s="594" t="s">
        <v>1392</v>
      </c>
      <c r="AE9" s="594"/>
      <c r="AF9" s="592" t="s">
        <v>1393</v>
      </c>
      <c r="AG9" s="592"/>
      <c r="AH9" s="598" t="s">
        <v>1393</v>
      </c>
      <c r="AI9" s="598"/>
      <c r="AJ9" s="598" t="s">
        <v>1395</v>
      </c>
      <c r="AK9" s="598"/>
      <c r="AL9" s="594" t="s">
        <v>1392</v>
      </c>
      <c r="AM9" s="594"/>
      <c r="AN9" s="592" t="s">
        <v>1393</v>
      </c>
      <c r="AO9" s="592"/>
      <c r="AP9" s="598" t="s">
        <v>1393</v>
      </c>
      <c r="AQ9" s="598"/>
      <c r="AR9" s="598" t="s">
        <v>1386</v>
      </c>
      <c r="AS9" s="598"/>
      <c r="AT9" s="594" t="s">
        <v>1392</v>
      </c>
      <c r="AU9" s="594"/>
      <c r="AV9" s="592" t="s">
        <v>1393</v>
      </c>
      <c r="AW9" s="592"/>
      <c r="AX9" s="598" t="s">
        <v>1393</v>
      </c>
      <c r="AY9" s="598"/>
      <c r="AZ9" s="594" t="s">
        <v>1392</v>
      </c>
      <c r="BA9" s="594"/>
      <c r="BB9" s="592" t="s">
        <v>1393</v>
      </c>
      <c r="BC9" s="592"/>
      <c r="BD9" s="598" t="s">
        <v>1393</v>
      </c>
      <c r="BE9" s="598"/>
      <c r="BF9" s="598" t="s">
        <v>1386</v>
      </c>
      <c r="BG9" s="598"/>
      <c r="BH9" s="716">
        <f>1/(1-(0.21+0.0884-(0.21*0.0884)))</f>
        <v>1.3885726029071155</v>
      </c>
      <c r="BI9" s="592"/>
      <c r="BJ9" s="592"/>
    </row>
    <row r="10" spans="1:62" ht="15" thickBot="1">
      <c r="A10" s="324" t="s">
        <v>100</v>
      </c>
      <c r="B10" s="703" t="s">
        <v>1101</v>
      </c>
      <c r="C10" s="703"/>
      <c r="D10" s="703"/>
      <c r="E10" s="703"/>
      <c r="F10" s="604" t="s">
        <v>1079</v>
      </c>
      <c r="G10" s="703"/>
      <c r="H10" s="704">
        <v>43100</v>
      </c>
      <c r="I10" s="703"/>
      <c r="J10" s="704">
        <v>43100</v>
      </c>
      <c r="K10" s="703"/>
      <c r="L10" s="704">
        <v>43100</v>
      </c>
      <c r="M10" s="703"/>
      <c r="N10" s="704">
        <v>43100</v>
      </c>
      <c r="O10" s="704"/>
      <c r="Q10" s="704"/>
      <c r="R10" s="704" t="s">
        <v>1396</v>
      </c>
      <c r="S10" s="703"/>
      <c r="T10" s="601" t="s">
        <v>1397</v>
      </c>
      <c r="U10" s="601"/>
      <c r="V10" s="602" t="s">
        <v>1397</v>
      </c>
      <c r="W10" s="602"/>
      <c r="X10" s="603" t="s">
        <v>1398</v>
      </c>
      <c r="Y10" s="603"/>
      <c r="Z10" s="603" t="s">
        <v>1399</v>
      </c>
      <c r="AA10" s="603"/>
      <c r="AB10" s="603" t="s">
        <v>1400</v>
      </c>
      <c r="AC10" s="603"/>
      <c r="AD10" s="601" t="s">
        <v>1397</v>
      </c>
      <c r="AE10" s="601"/>
      <c r="AF10" s="602" t="s">
        <v>1397</v>
      </c>
      <c r="AG10" s="602"/>
      <c r="AH10" s="603" t="s">
        <v>1398</v>
      </c>
      <c r="AI10" s="603"/>
      <c r="AJ10" s="603" t="s">
        <v>1401</v>
      </c>
      <c r="AK10" s="603"/>
      <c r="AL10" s="601" t="s">
        <v>1397</v>
      </c>
      <c r="AM10" s="601"/>
      <c r="AN10" s="602" t="s">
        <v>1397</v>
      </c>
      <c r="AO10" s="602"/>
      <c r="AP10" s="603" t="s">
        <v>1398</v>
      </c>
      <c r="AQ10" s="603"/>
      <c r="AR10" s="603" t="s">
        <v>1399</v>
      </c>
      <c r="AS10" s="603"/>
      <c r="AT10" s="601" t="s">
        <v>1397</v>
      </c>
      <c r="AU10" s="601"/>
      <c r="AV10" s="602" t="s">
        <v>1397</v>
      </c>
      <c r="AW10" s="602"/>
      <c r="AX10" s="603" t="s">
        <v>1398</v>
      </c>
      <c r="AY10" s="603"/>
      <c r="AZ10" s="601" t="s">
        <v>1397</v>
      </c>
      <c r="BA10" s="601"/>
      <c r="BB10" s="602" t="s">
        <v>1397</v>
      </c>
      <c r="BC10" s="602"/>
      <c r="BD10" s="603" t="s">
        <v>1398</v>
      </c>
      <c r="BE10" s="603"/>
      <c r="BF10" s="603" t="s">
        <v>1399</v>
      </c>
      <c r="BG10" s="603"/>
      <c r="BH10" s="704"/>
      <c r="BI10" s="604" t="s">
        <v>594</v>
      </c>
      <c r="BJ10" s="722" t="s">
        <v>100</v>
      </c>
    </row>
    <row r="11" spans="1:62">
      <c r="A11" s="592"/>
      <c r="B11" s="699"/>
      <c r="C11" s="699"/>
      <c r="D11" s="699"/>
      <c r="E11" s="699"/>
      <c r="F11" s="702"/>
      <c r="G11" s="699"/>
      <c r="H11" s="699"/>
      <c r="I11" s="699"/>
      <c r="J11" s="699"/>
      <c r="K11" s="699"/>
      <c r="L11" s="699"/>
      <c r="M11" s="699"/>
      <c r="N11" s="699"/>
      <c r="O11" s="699"/>
      <c r="Q11" s="699"/>
      <c r="R11" s="699"/>
      <c r="S11" s="699"/>
      <c r="T11" s="594"/>
      <c r="U11" s="594"/>
      <c r="V11" s="605"/>
      <c r="W11" s="605"/>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6"/>
      <c r="AY11" s="606"/>
      <c r="AZ11" s="606"/>
      <c r="BA11" s="606"/>
      <c r="BB11" s="606"/>
      <c r="BC11" s="606"/>
      <c r="BD11" s="606"/>
      <c r="BE11" s="606"/>
      <c r="BF11" s="606"/>
      <c r="BG11" s="606"/>
      <c r="BI11" s="592"/>
      <c r="BJ11" s="592"/>
    </row>
    <row r="12" spans="1:62">
      <c r="A12" s="592">
        <v>100</v>
      </c>
      <c r="B12" s="699" t="s">
        <v>1402</v>
      </c>
      <c r="C12" s="699"/>
      <c r="D12" s="699" t="s">
        <v>1403</v>
      </c>
      <c r="E12" s="699"/>
      <c r="F12" s="702" t="s">
        <v>1404</v>
      </c>
      <c r="G12" s="699"/>
      <c r="H12" s="607">
        <f>+H26</f>
        <v>0</v>
      </c>
      <c r="I12" s="699"/>
      <c r="J12" s="607">
        <f>+J26</f>
        <v>0</v>
      </c>
      <c r="K12" s="699"/>
      <c r="L12" s="607">
        <f>+L26</f>
        <v>0</v>
      </c>
      <c r="M12" s="699"/>
      <c r="N12" s="607">
        <f>+N26</f>
        <v>0</v>
      </c>
      <c r="O12" s="607"/>
      <c r="Q12" s="699"/>
      <c r="R12" s="702" t="s">
        <v>1405</v>
      </c>
      <c r="S12" s="699"/>
      <c r="T12" s="607">
        <f>T26</f>
        <v>0</v>
      </c>
      <c r="U12" s="607"/>
      <c r="V12" s="607">
        <f>V26</f>
        <v>0</v>
      </c>
      <c r="W12" s="607"/>
      <c r="X12" s="607">
        <f>X26</f>
        <v>0</v>
      </c>
      <c r="Y12" s="607"/>
      <c r="Z12" s="607">
        <f>SUM(T12:X12)</f>
        <v>0</v>
      </c>
      <c r="AA12" s="607"/>
      <c r="AB12" s="609" t="s">
        <v>1406</v>
      </c>
      <c r="AC12" s="607"/>
      <c r="AD12" s="607">
        <f>AD26</f>
        <v>0</v>
      </c>
      <c r="AE12" s="607"/>
      <c r="AF12" s="607">
        <f>AF26</f>
        <v>0</v>
      </c>
      <c r="AG12" s="607"/>
      <c r="AH12" s="607">
        <f>AH26</f>
        <v>0</v>
      </c>
      <c r="AI12" s="607"/>
      <c r="AJ12" s="702" t="s">
        <v>1407</v>
      </c>
      <c r="AK12" s="607"/>
      <c r="AL12" s="607">
        <f>AL26</f>
        <v>0</v>
      </c>
      <c r="AM12" s="607"/>
      <c r="AN12" s="607">
        <f>AN26</f>
        <v>0</v>
      </c>
      <c r="AO12" s="607"/>
      <c r="AP12" s="607">
        <f>AP26</f>
        <v>0</v>
      </c>
      <c r="AQ12" s="607"/>
      <c r="AR12" s="607">
        <f>SUM(AL12:AP12)</f>
        <v>0</v>
      </c>
      <c r="AS12" s="607"/>
      <c r="AT12" s="607">
        <f>AT26</f>
        <v>0</v>
      </c>
      <c r="AU12" s="607"/>
      <c r="AV12" s="607">
        <f>AV26</f>
        <v>0</v>
      </c>
      <c r="AW12" s="607"/>
      <c r="AX12" s="607">
        <f>AX26</f>
        <v>0</v>
      </c>
      <c r="AY12" s="607"/>
      <c r="AZ12" s="607">
        <f>AZ26</f>
        <v>0</v>
      </c>
      <c r="BA12" s="607"/>
      <c r="BB12" s="607">
        <f>BB26</f>
        <v>0</v>
      </c>
      <c r="BC12" s="607"/>
      <c r="BD12" s="607">
        <f>BD26</f>
        <v>0</v>
      </c>
      <c r="BE12" s="607"/>
      <c r="BF12" s="607">
        <f>SUM(AZ12:BD12)</f>
        <v>0</v>
      </c>
      <c r="BG12" s="607"/>
      <c r="BH12" s="607">
        <f>+BH26</f>
        <v>0</v>
      </c>
      <c r="BI12" s="592"/>
      <c r="BJ12" s="592">
        <f t="shared" ref="BJ12:BJ17" si="0">A12</f>
        <v>100</v>
      </c>
    </row>
    <row r="13" spans="1:62">
      <c r="A13" s="592">
        <f>+A12+1</f>
        <v>101</v>
      </c>
      <c r="B13" s="699" t="s">
        <v>791</v>
      </c>
      <c r="C13" s="699"/>
      <c r="D13" s="699" t="s">
        <v>1408</v>
      </c>
      <c r="E13" s="699"/>
      <c r="F13" s="702" t="s">
        <v>1404</v>
      </c>
      <c r="G13" s="699"/>
      <c r="H13" s="607">
        <f>+H34</f>
        <v>0</v>
      </c>
      <c r="I13" s="699"/>
      <c r="J13" s="607">
        <f>+J34</f>
        <v>0</v>
      </c>
      <c r="K13" s="699"/>
      <c r="L13" s="607">
        <f>+L34</f>
        <v>0</v>
      </c>
      <c r="M13" s="699"/>
      <c r="N13" s="607">
        <f>+N34</f>
        <v>0</v>
      </c>
      <c r="O13" s="607"/>
      <c r="Q13" s="699"/>
      <c r="R13" s="702" t="s">
        <v>1405</v>
      </c>
      <c r="S13" s="699"/>
      <c r="T13" s="607">
        <f>T34</f>
        <v>0</v>
      </c>
      <c r="U13" s="607"/>
      <c r="V13" s="607">
        <f>V34</f>
        <v>0</v>
      </c>
      <c r="W13" s="607"/>
      <c r="X13" s="607">
        <f>X34</f>
        <v>0</v>
      </c>
      <c r="Y13" s="607"/>
      <c r="Z13" s="607">
        <f t="shared" ref="Z13:Z16" si="1">SUM(T13:X13)</f>
        <v>0</v>
      </c>
      <c r="AA13" s="607"/>
      <c r="AB13" s="609" t="s">
        <v>1406</v>
      </c>
      <c r="AC13" s="607"/>
      <c r="AD13" s="607">
        <f>AD34</f>
        <v>0</v>
      </c>
      <c r="AE13" s="607"/>
      <c r="AF13" s="607">
        <f>AF34</f>
        <v>0</v>
      </c>
      <c r="AG13" s="607"/>
      <c r="AH13" s="607">
        <f>AH34</f>
        <v>0</v>
      </c>
      <c r="AI13" s="607"/>
      <c r="AJ13" s="702" t="s">
        <v>1407</v>
      </c>
      <c r="AK13" s="607"/>
      <c r="AL13" s="607">
        <f>AL34</f>
        <v>0</v>
      </c>
      <c r="AM13" s="607"/>
      <c r="AN13" s="607">
        <f>AN34</f>
        <v>0</v>
      </c>
      <c r="AO13" s="607"/>
      <c r="AP13" s="607">
        <f>AP34</f>
        <v>0</v>
      </c>
      <c r="AQ13" s="607"/>
      <c r="AR13" s="607">
        <f t="shared" ref="AR13:AR16" si="2">SUM(AL13:AP13)</f>
        <v>0</v>
      </c>
      <c r="AS13" s="607"/>
      <c r="AT13" s="607">
        <f>AT34</f>
        <v>0</v>
      </c>
      <c r="AU13" s="607"/>
      <c r="AV13" s="607">
        <f>AV34</f>
        <v>0</v>
      </c>
      <c r="AW13" s="607"/>
      <c r="AX13" s="607">
        <f>AX34</f>
        <v>0</v>
      </c>
      <c r="AY13" s="607"/>
      <c r="AZ13" s="607">
        <f>AZ34</f>
        <v>0</v>
      </c>
      <c r="BA13" s="607"/>
      <c r="BB13" s="607">
        <f>BB34</f>
        <v>0</v>
      </c>
      <c r="BC13" s="607"/>
      <c r="BD13" s="607">
        <f>BD34</f>
        <v>0</v>
      </c>
      <c r="BE13" s="607"/>
      <c r="BF13" s="607">
        <f t="shared" ref="BF13:BF16" si="3">SUM(AZ13:BD13)</f>
        <v>0</v>
      </c>
      <c r="BG13" s="607"/>
      <c r="BH13" s="607">
        <f>+BH34</f>
        <v>0</v>
      </c>
      <c r="BI13" s="592"/>
      <c r="BJ13" s="592">
        <f t="shared" si="0"/>
        <v>101</v>
      </c>
    </row>
    <row r="14" spans="1:62">
      <c r="A14" s="592">
        <f t="shared" ref="A14:A15" si="4">+A13+1</f>
        <v>102</v>
      </c>
      <c r="B14" s="699" t="s">
        <v>1409</v>
      </c>
      <c r="C14" s="699"/>
      <c r="D14" s="699" t="s">
        <v>1410</v>
      </c>
      <c r="E14" s="699"/>
      <c r="F14" s="702" t="s">
        <v>1404</v>
      </c>
      <c r="G14" s="699"/>
      <c r="H14" s="607">
        <f>+H42</f>
        <v>0</v>
      </c>
      <c r="I14" s="699"/>
      <c r="J14" s="607">
        <f>+J42</f>
        <v>0</v>
      </c>
      <c r="K14" s="699"/>
      <c r="L14" s="607">
        <f>+L42</f>
        <v>0</v>
      </c>
      <c r="M14" s="699"/>
      <c r="N14" s="607">
        <f>+N42</f>
        <v>0</v>
      </c>
      <c r="O14" s="607"/>
      <c r="Q14" s="699"/>
      <c r="R14" s="702" t="s">
        <v>1405</v>
      </c>
      <c r="S14" s="699"/>
      <c r="T14" s="607">
        <f>T42</f>
        <v>0</v>
      </c>
      <c r="U14" s="607"/>
      <c r="V14" s="607">
        <f>V42</f>
        <v>0</v>
      </c>
      <c r="W14" s="607"/>
      <c r="X14" s="607">
        <f>X42</f>
        <v>0</v>
      </c>
      <c r="Y14" s="607"/>
      <c r="Z14" s="607">
        <f t="shared" si="1"/>
        <v>0</v>
      </c>
      <c r="AA14" s="607"/>
      <c r="AB14" s="609" t="s">
        <v>1411</v>
      </c>
      <c r="AC14" s="607"/>
      <c r="AD14" s="607">
        <f>AD42</f>
        <v>0</v>
      </c>
      <c r="AE14" s="607"/>
      <c r="AF14" s="607">
        <f>AF42</f>
        <v>0</v>
      </c>
      <c r="AG14" s="607"/>
      <c r="AH14" s="607">
        <f>AH42</f>
        <v>0</v>
      </c>
      <c r="AI14" s="607"/>
      <c r="AJ14" s="702" t="s">
        <v>1407</v>
      </c>
      <c r="AK14" s="607"/>
      <c r="AL14" s="607">
        <f>AL42</f>
        <v>0</v>
      </c>
      <c r="AM14" s="607"/>
      <c r="AN14" s="607">
        <f>AN42</f>
        <v>0</v>
      </c>
      <c r="AO14" s="607"/>
      <c r="AP14" s="607">
        <f>AP42</f>
        <v>0</v>
      </c>
      <c r="AQ14" s="607"/>
      <c r="AR14" s="607">
        <f t="shared" si="2"/>
        <v>0</v>
      </c>
      <c r="AS14" s="607"/>
      <c r="AT14" s="607">
        <f>AT42</f>
        <v>0</v>
      </c>
      <c r="AU14" s="607"/>
      <c r="AV14" s="607">
        <f>AV42</f>
        <v>0</v>
      </c>
      <c r="AW14" s="607"/>
      <c r="AX14" s="607">
        <f>AX42</f>
        <v>0</v>
      </c>
      <c r="AY14" s="607"/>
      <c r="AZ14" s="607">
        <f>AZ42</f>
        <v>0</v>
      </c>
      <c r="BA14" s="607"/>
      <c r="BB14" s="607">
        <f>BB42</f>
        <v>0</v>
      </c>
      <c r="BC14" s="607"/>
      <c r="BD14" s="607">
        <f>BD42</f>
        <v>0</v>
      </c>
      <c r="BE14" s="607"/>
      <c r="BF14" s="607">
        <f t="shared" si="3"/>
        <v>0</v>
      </c>
      <c r="BG14" s="607"/>
      <c r="BH14" s="607">
        <f>+BH42</f>
        <v>0</v>
      </c>
      <c r="BI14" s="592"/>
      <c r="BJ14" s="592">
        <f t="shared" si="0"/>
        <v>102</v>
      </c>
    </row>
    <row r="15" spans="1:62">
      <c r="A15" s="592">
        <f t="shared" si="4"/>
        <v>103</v>
      </c>
      <c r="B15" s="699" t="s">
        <v>1412</v>
      </c>
      <c r="C15" s="699"/>
      <c r="D15" s="699" t="s">
        <v>1413</v>
      </c>
      <c r="E15" s="699"/>
      <c r="F15" s="702" t="s">
        <v>1414</v>
      </c>
      <c r="G15" s="699"/>
      <c r="H15" s="607">
        <f>+H102</f>
        <v>0</v>
      </c>
      <c r="I15" s="699"/>
      <c r="J15" s="607">
        <f>+J102</f>
        <v>0</v>
      </c>
      <c r="K15" s="699"/>
      <c r="L15" s="607">
        <f>+L102</f>
        <v>0</v>
      </c>
      <c r="M15" s="699"/>
      <c r="N15" s="607">
        <f>+N102</f>
        <v>0</v>
      </c>
      <c r="O15" s="607"/>
      <c r="Q15" s="699"/>
      <c r="R15" s="702" t="s">
        <v>1415</v>
      </c>
      <c r="S15" s="699"/>
      <c r="T15" s="607">
        <f>T102</f>
        <v>0</v>
      </c>
      <c r="U15" s="607"/>
      <c r="V15" s="607">
        <f>V102</f>
        <v>0</v>
      </c>
      <c r="W15" s="607"/>
      <c r="X15" s="607">
        <f>X102</f>
        <v>0</v>
      </c>
      <c r="Y15" s="607"/>
      <c r="Z15" s="607">
        <f>SUM(T15:X15)</f>
        <v>0</v>
      </c>
      <c r="AA15" s="607"/>
      <c r="AB15" s="609" t="s">
        <v>1528</v>
      </c>
      <c r="AC15" s="607"/>
      <c r="AD15" s="607">
        <f>AD102</f>
        <v>0</v>
      </c>
      <c r="AE15" s="607"/>
      <c r="AF15" s="607">
        <f>AF102</f>
        <v>0</v>
      </c>
      <c r="AG15" s="607"/>
      <c r="AH15" s="607">
        <f>AH102</f>
        <v>0</v>
      </c>
      <c r="AI15" s="607"/>
      <c r="AJ15" s="702" t="s">
        <v>1416</v>
      </c>
      <c r="AK15" s="607"/>
      <c r="AL15" s="607">
        <f>AL102</f>
        <v>0</v>
      </c>
      <c r="AM15" s="607"/>
      <c r="AN15" s="607">
        <f>AN102</f>
        <v>0</v>
      </c>
      <c r="AO15" s="607"/>
      <c r="AP15" s="607">
        <f>AP102</f>
        <v>0</v>
      </c>
      <c r="AQ15" s="607"/>
      <c r="AR15" s="607">
        <f t="shared" si="2"/>
        <v>0</v>
      </c>
      <c r="AS15" s="607"/>
      <c r="AT15" s="607">
        <f>AT102</f>
        <v>0</v>
      </c>
      <c r="AU15" s="607"/>
      <c r="AV15" s="607">
        <f>AV102</f>
        <v>0</v>
      </c>
      <c r="AW15" s="607"/>
      <c r="AX15" s="607">
        <f>AX102</f>
        <v>0</v>
      </c>
      <c r="AY15" s="607"/>
      <c r="AZ15" s="607">
        <f>AZ102</f>
        <v>0</v>
      </c>
      <c r="BA15" s="607"/>
      <c r="BB15" s="607">
        <f>BB102</f>
        <v>0</v>
      </c>
      <c r="BC15" s="607"/>
      <c r="BD15" s="607">
        <f>BD102</f>
        <v>0</v>
      </c>
      <c r="BE15" s="607"/>
      <c r="BF15" s="607">
        <f t="shared" si="3"/>
        <v>0</v>
      </c>
      <c r="BG15" s="607"/>
      <c r="BH15" s="607">
        <f>+BH102</f>
        <v>0</v>
      </c>
      <c r="BI15" s="592"/>
      <c r="BJ15" s="592">
        <f t="shared" si="0"/>
        <v>103</v>
      </c>
    </row>
    <row r="16" spans="1:62">
      <c r="A16" s="592">
        <f>+A15+1</f>
        <v>104</v>
      </c>
      <c r="B16" s="699" t="s">
        <v>1417</v>
      </c>
      <c r="C16" s="699" t="s">
        <v>1418</v>
      </c>
      <c r="D16" s="699" t="s">
        <v>1419</v>
      </c>
      <c r="E16" s="699"/>
      <c r="F16" s="702" t="s">
        <v>1420</v>
      </c>
      <c r="G16" s="699"/>
      <c r="H16" s="610">
        <f>+H115</f>
        <v>0</v>
      </c>
      <c r="I16" s="699"/>
      <c r="J16" s="610">
        <f>+J115</f>
        <v>0</v>
      </c>
      <c r="K16" s="699"/>
      <c r="L16" s="610">
        <f>+L115</f>
        <v>0</v>
      </c>
      <c r="M16" s="699"/>
      <c r="N16" s="610">
        <f>+N115</f>
        <v>0</v>
      </c>
      <c r="O16" s="607"/>
      <c r="Q16" s="699"/>
      <c r="R16" s="702" t="s">
        <v>1415</v>
      </c>
      <c r="S16" s="699"/>
      <c r="T16" s="610">
        <f>T115</f>
        <v>0</v>
      </c>
      <c r="U16" s="610"/>
      <c r="V16" s="610">
        <f t="shared" ref="V16" si="5">V115</f>
        <v>0</v>
      </c>
      <c r="W16" s="610"/>
      <c r="X16" s="610">
        <f t="shared" ref="X16" si="6">X115</f>
        <v>0</v>
      </c>
      <c r="Y16" s="610"/>
      <c r="Z16" s="610">
        <f t="shared" si="1"/>
        <v>0</v>
      </c>
      <c r="AA16" s="607"/>
      <c r="AB16" s="609" t="s">
        <v>1406</v>
      </c>
      <c r="AC16" s="607"/>
      <c r="AD16" s="610">
        <f>AD115</f>
        <v>0</v>
      </c>
      <c r="AE16" s="610"/>
      <c r="AF16" s="610">
        <f t="shared" ref="AF16:AH16" si="7">AF115</f>
        <v>0</v>
      </c>
      <c r="AG16" s="610"/>
      <c r="AH16" s="610">
        <f t="shared" si="7"/>
        <v>0</v>
      </c>
      <c r="AI16" s="607"/>
      <c r="AJ16" s="702" t="s">
        <v>1416</v>
      </c>
      <c r="AK16" s="607"/>
      <c r="AL16" s="610">
        <f>AL115</f>
        <v>0</v>
      </c>
      <c r="AM16" s="610"/>
      <c r="AN16" s="610">
        <f t="shared" ref="AN16" si="8">AN115</f>
        <v>0</v>
      </c>
      <c r="AO16" s="610"/>
      <c r="AP16" s="610">
        <f t="shared" ref="AP16" si="9">AP115</f>
        <v>0</v>
      </c>
      <c r="AQ16" s="610"/>
      <c r="AR16" s="610">
        <f t="shared" si="2"/>
        <v>0</v>
      </c>
      <c r="AS16" s="607"/>
      <c r="AT16" s="610">
        <f>AT115</f>
        <v>0</v>
      </c>
      <c r="AU16" s="610"/>
      <c r="AV16" s="610">
        <f t="shared" ref="AV16:AX16" si="10">AV115</f>
        <v>0</v>
      </c>
      <c r="AW16" s="610"/>
      <c r="AX16" s="610">
        <f t="shared" si="10"/>
        <v>0</v>
      </c>
      <c r="AY16" s="607"/>
      <c r="AZ16" s="610">
        <f>AZ115</f>
        <v>0</v>
      </c>
      <c r="BA16" s="610"/>
      <c r="BB16" s="610">
        <f t="shared" ref="BB16" si="11">BB115</f>
        <v>0</v>
      </c>
      <c r="BC16" s="610"/>
      <c r="BD16" s="610">
        <f t="shared" ref="BD16" si="12">BD115</f>
        <v>0</v>
      </c>
      <c r="BE16" s="610"/>
      <c r="BF16" s="610">
        <f t="shared" si="3"/>
        <v>0</v>
      </c>
      <c r="BG16" s="607"/>
      <c r="BH16" s="610">
        <f>+BH115</f>
        <v>0</v>
      </c>
      <c r="BI16" s="592"/>
      <c r="BJ16" s="592">
        <f t="shared" si="0"/>
        <v>104</v>
      </c>
    </row>
    <row r="17" spans="1:62">
      <c r="A17" s="592">
        <f>+A16+1</f>
        <v>105</v>
      </c>
      <c r="B17" s="699" t="s">
        <v>465</v>
      </c>
      <c r="C17" s="699"/>
      <c r="D17" s="592"/>
      <c r="E17" s="592"/>
      <c r="F17" s="592"/>
      <c r="G17" s="592"/>
      <c r="H17" s="708">
        <f>SUM(H12:H16)</f>
        <v>0</v>
      </c>
      <c r="I17" s="592"/>
      <c r="J17" s="708">
        <f>SUM(J12:J16)</f>
        <v>0</v>
      </c>
      <c r="K17" s="592"/>
      <c r="L17" s="708">
        <f>SUM(L12:L16)</f>
        <v>0</v>
      </c>
      <c r="M17" s="592"/>
      <c r="N17" s="708">
        <f>SUM(N12:N16)</f>
        <v>0</v>
      </c>
      <c r="O17" s="708"/>
      <c r="Q17" s="592"/>
      <c r="R17" s="592"/>
      <c r="S17" s="592"/>
      <c r="T17" s="708">
        <f>SUM(T12:T16)</f>
        <v>0</v>
      </c>
      <c r="U17" s="708"/>
      <c r="V17" s="708">
        <f>SUM(V12:V16)</f>
        <v>0</v>
      </c>
      <c r="W17" s="708"/>
      <c r="X17" s="708">
        <f>SUM(X12:X16)</f>
        <v>0</v>
      </c>
      <c r="Y17" s="708"/>
      <c r="Z17" s="708">
        <f>SUM(Z12:Z16)</f>
        <v>0</v>
      </c>
      <c r="AA17" s="708"/>
      <c r="AB17" s="708"/>
      <c r="AC17" s="708"/>
      <c r="AD17" s="708">
        <f>SUM(AD12:AD16)</f>
        <v>0</v>
      </c>
      <c r="AE17" s="708"/>
      <c r="AF17" s="708">
        <f>SUM(AF12:AF16)</f>
        <v>0</v>
      </c>
      <c r="AG17" s="708"/>
      <c r="AH17" s="708">
        <f>SUM(AH12:AH16)</f>
        <v>0</v>
      </c>
      <c r="AI17" s="708"/>
      <c r="AJ17" s="592"/>
      <c r="AK17" s="708"/>
      <c r="AL17" s="708">
        <f>SUM(AL12:AL16)</f>
        <v>0</v>
      </c>
      <c r="AM17" s="708"/>
      <c r="AN17" s="708">
        <f>SUM(AN12:AN16)</f>
        <v>0</v>
      </c>
      <c r="AO17" s="708"/>
      <c r="AP17" s="708">
        <f>SUM(AP12:AP16)</f>
        <v>0</v>
      </c>
      <c r="AQ17" s="708"/>
      <c r="AR17" s="708">
        <f>SUM(AR12:AR16)</f>
        <v>0</v>
      </c>
      <c r="AS17" s="708"/>
      <c r="AT17" s="708">
        <f>SUM(AT12:AT16)</f>
        <v>0</v>
      </c>
      <c r="AU17" s="708"/>
      <c r="AV17" s="708">
        <f>SUM(AV12:AV16)</f>
        <v>0</v>
      </c>
      <c r="AW17" s="708"/>
      <c r="AX17" s="708">
        <f>SUM(AX12:AX16)</f>
        <v>0</v>
      </c>
      <c r="AY17" s="708"/>
      <c r="AZ17" s="708">
        <f>SUM(AZ12:AZ16)</f>
        <v>0</v>
      </c>
      <c r="BA17" s="708"/>
      <c r="BB17" s="708">
        <f>SUM(BB12:BB16)</f>
        <v>0</v>
      </c>
      <c r="BC17" s="708"/>
      <c r="BD17" s="708">
        <f>SUM(BD12:BD16)</f>
        <v>0</v>
      </c>
      <c r="BE17" s="708"/>
      <c r="BF17" s="708">
        <f>SUM(BF12:BF16)</f>
        <v>0</v>
      </c>
      <c r="BG17" s="708"/>
      <c r="BH17" s="708">
        <f>SUM(BH12:BH16)</f>
        <v>0</v>
      </c>
      <c r="BI17" s="723"/>
      <c r="BJ17" s="592">
        <f t="shared" si="0"/>
        <v>105</v>
      </c>
    </row>
    <row r="18" spans="1:62">
      <c r="A18" s="592"/>
      <c r="B18" s="699"/>
      <c r="C18" s="699"/>
      <c r="D18" s="592"/>
      <c r="E18" s="592"/>
      <c r="F18" s="592"/>
      <c r="G18" s="592"/>
      <c r="H18" s="592"/>
      <c r="I18" s="592"/>
      <c r="J18" s="592"/>
      <c r="K18" s="592"/>
      <c r="L18" s="592"/>
      <c r="M18" s="592"/>
      <c r="N18" s="592"/>
      <c r="O18" s="592"/>
      <c r="Q18" s="592"/>
      <c r="R18" s="592"/>
      <c r="S18" s="592"/>
      <c r="T18" s="699"/>
      <c r="U18" s="699"/>
      <c r="V18" s="699"/>
      <c r="W18" s="699"/>
      <c r="X18" s="699"/>
      <c r="Y18" s="699"/>
      <c r="Z18" s="699"/>
      <c r="AA18" s="699"/>
      <c r="AB18" s="699"/>
      <c r="AC18" s="699"/>
      <c r="AD18" s="699"/>
      <c r="AE18" s="699"/>
      <c r="AF18" s="699"/>
      <c r="AG18" s="699"/>
      <c r="AH18" s="699"/>
      <c r="AI18" s="699"/>
      <c r="AJ18" s="592"/>
      <c r="AK18" s="699"/>
      <c r="AL18" s="699"/>
      <c r="AM18" s="699"/>
      <c r="AN18" s="699"/>
      <c r="AO18" s="699"/>
      <c r="AP18" s="699"/>
      <c r="AQ18" s="699"/>
      <c r="AR18" s="699"/>
      <c r="AS18" s="699"/>
      <c r="AT18" s="699"/>
      <c r="AU18" s="699"/>
      <c r="AV18" s="699"/>
      <c r="AW18" s="699"/>
      <c r="AX18" s="699"/>
      <c r="AY18" s="699"/>
      <c r="AZ18" s="699"/>
      <c r="BA18" s="699"/>
      <c r="BB18" s="699"/>
      <c r="BC18" s="699"/>
      <c r="BD18" s="699"/>
      <c r="BE18" s="699"/>
      <c r="BF18" s="699"/>
      <c r="BG18" s="699"/>
      <c r="BH18" s="592"/>
      <c r="BI18" s="723"/>
      <c r="BJ18" s="592"/>
    </row>
    <row r="19" spans="1:62">
      <c r="A19" s="592">
        <f>+A17+1</f>
        <v>106</v>
      </c>
      <c r="B19" s="724" t="s">
        <v>1421</v>
      </c>
      <c r="C19" s="724"/>
      <c r="D19" s="591"/>
      <c r="E19" s="592"/>
      <c r="F19" s="592"/>
      <c r="G19" s="592"/>
      <c r="H19" s="592"/>
      <c r="I19" s="592"/>
      <c r="J19" s="592"/>
      <c r="K19" s="592"/>
      <c r="L19" s="592"/>
      <c r="M19" s="592"/>
      <c r="N19" s="592"/>
      <c r="O19" s="592"/>
      <c r="Q19" s="592"/>
      <c r="R19" s="592"/>
      <c r="S19" s="592"/>
      <c r="T19" s="699"/>
      <c r="U19" s="699"/>
      <c r="V19" s="699"/>
      <c r="W19" s="699"/>
      <c r="X19" s="699"/>
      <c r="Y19" s="699"/>
      <c r="Z19" s="699"/>
      <c r="AA19" s="699"/>
      <c r="AB19" s="699"/>
      <c r="AC19" s="699"/>
      <c r="AD19" s="699"/>
      <c r="AE19" s="699"/>
      <c r="AF19" s="699"/>
      <c r="AG19" s="699"/>
      <c r="AH19" s="699"/>
      <c r="AI19" s="699"/>
      <c r="AJ19" s="592"/>
      <c r="AK19" s="699"/>
      <c r="AL19" s="699"/>
      <c r="AM19" s="699"/>
      <c r="AN19" s="699"/>
      <c r="AO19" s="699"/>
      <c r="AP19" s="699"/>
      <c r="AQ19" s="699"/>
      <c r="AR19" s="699"/>
      <c r="AS19" s="699"/>
      <c r="AT19" s="699"/>
      <c r="AU19" s="699"/>
      <c r="AV19" s="699"/>
      <c r="AW19" s="699"/>
      <c r="AX19" s="699"/>
      <c r="AY19" s="699"/>
      <c r="AZ19" s="699"/>
      <c r="BA19" s="699"/>
      <c r="BB19" s="699"/>
      <c r="BC19" s="699"/>
      <c r="BD19" s="699"/>
      <c r="BE19" s="699"/>
      <c r="BF19" s="699"/>
      <c r="BG19" s="699"/>
      <c r="BH19" s="592"/>
      <c r="BI19" s="614"/>
      <c r="BJ19" s="592">
        <f>A19</f>
        <v>106</v>
      </c>
    </row>
    <row r="20" spans="1:62">
      <c r="A20" s="592">
        <f>+A19+1</f>
        <v>107</v>
      </c>
      <c r="B20" s="702" t="s">
        <v>1529</v>
      </c>
      <c r="C20" s="699" t="s">
        <v>1530</v>
      </c>
      <c r="D20" s="592"/>
      <c r="E20" s="592"/>
      <c r="F20" s="592"/>
      <c r="G20" s="592"/>
      <c r="H20" s="708">
        <f>+H124</f>
        <v>0</v>
      </c>
      <c r="I20" s="592"/>
      <c r="J20" s="708">
        <f>+J124</f>
        <v>0</v>
      </c>
      <c r="K20" s="708"/>
      <c r="L20" s="708">
        <f>+L124</f>
        <v>0</v>
      </c>
      <c r="M20" s="708"/>
      <c r="N20" s="708">
        <f>N124</f>
        <v>0</v>
      </c>
      <c r="O20" s="708"/>
      <c r="Q20" s="708"/>
      <c r="R20" s="702" t="s">
        <v>1423</v>
      </c>
      <c r="S20" s="592"/>
      <c r="T20" s="708">
        <f>T123</f>
        <v>0</v>
      </c>
      <c r="U20" s="708"/>
      <c r="V20" s="708">
        <f>V123</f>
        <v>0</v>
      </c>
      <c r="W20" s="708"/>
      <c r="X20" s="708">
        <f>X123</f>
        <v>0</v>
      </c>
      <c r="Y20" s="708"/>
      <c r="Z20" s="708">
        <f>SUM(T20:X20)</f>
        <v>0</v>
      </c>
      <c r="AA20" s="708"/>
      <c r="AB20" s="609" t="s">
        <v>1406</v>
      </c>
      <c r="AC20" s="708"/>
      <c r="AD20" s="708">
        <f>AD123</f>
        <v>0</v>
      </c>
      <c r="AE20" s="708"/>
      <c r="AF20" s="708">
        <f>AF123</f>
        <v>0</v>
      </c>
      <c r="AG20" s="708"/>
      <c r="AH20" s="708">
        <f>AH123</f>
        <v>0</v>
      </c>
      <c r="AI20" s="708"/>
      <c r="AJ20" s="702" t="s">
        <v>1423</v>
      </c>
      <c r="AK20" s="708"/>
      <c r="AL20" s="708">
        <f>AL123</f>
        <v>0</v>
      </c>
      <c r="AM20" s="708"/>
      <c r="AN20" s="708">
        <f>AN123</f>
        <v>0</v>
      </c>
      <c r="AO20" s="708"/>
      <c r="AP20" s="708">
        <f>AP123</f>
        <v>0</v>
      </c>
      <c r="AQ20" s="708"/>
      <c r="AR20" s="708">
        <f t="shared" ref="AR20:AR22" si="13">SUM(AL20:AP20)</f>
        <v>0</v>
      </c>
      <c r="AS20" s="708"/>
      <c r="AT20" s="708">
        <f>AT123</f>
        <v>0</v>
      </c>
      <c r="AU20" s="708"/>
      <c r="AV20" s="708">
        <f>AV123</f>
        <v>0</v>
      </c>
      <c r="AW20" s="708"/>
      <c r="AX20" s="708">
        <f>AX123</f>
        <v>0</v>
      </c>
      <c r="AY20" s="708"/>
      <c r="AZ20" s="607">
        <f>+AL20+AT20</f>
        <v>0</v>
      </c>
      <c r="BA20" s="708"/>
      <c r="BB20" s="607">
        <f>+AN20+AV20</f>
        <v>0</v>
      </c>
      <c r="BC20" s="708"/>
      <c r="BD20" s="607">
        <f>+AP20+AX20</f>
        <v>0</v>
      </c>
      <c r="BE20" s="708"/>
      <c r="BF20" s="708">
        <f>SUM(AZ20:BD20)</f>
        <v>0</v>
      </c>
      <c r="BG20" s="708"/>
      <c r="BH20" s="708">
        <f>BH124</f>
        <v>0</v>
      </c>
      <c r="BI20" s="723"/>
      <c r="BJ20" s="592">
        <f>A20</f>
        <v>107</v>
      </c>
    </row>
    <row r="21" spans="1:62">
      <c r="A21" s="592">
        <f t="shared" ref="A21:A30" si="14">A20+1</f>
        <v>108</v>
      </c>
      <c r="B21" s="702" t="s">
        <v>127</v>
      </c>
      <c r="C21" s="699"/>
      <c r="D21" s="592"/>
      <c r="E21" s="592"/>
      <c r="F21" s="592"/>
      <c r="G21" s="592"/>
      <c r="H21" s="708">
        <f t="shared" ref="H21:H22" si="15">+H125</f>
        <v>0</v>
      </c>
      <c r="I21" s="592"/>
      <c r="J21" s="708">
        <f t="shared" ref="J21:L22" si="16">+J125</f>
        <v>0</v>
      </c>
      <c r="K21" s="708"/>
      <c r="L21" s="708">
        <f t="shared" si="16"/>
        <v>0</v>
      </c>
      <c r="M21" s="708"/>
      <c r="N21" s="708">
        <f t="shared" ref="N21:N22" si="17">N125</f>
        <v>0</v>
      </c>
      <c r="O21" s="708"/>
      <c r="Q21" s="708"/>
      <c r="R21" s="702" t="s">
        <v>1423</v>
      </c>
      <c r="S21" s="592"/>
      <c r="T21" s="708">
        <f t="shared" ref="T21:T22" si="18">T124</f>
        <v>0</v>
      </c>
      <c r="U21" s="708"/>
      <c r="V21" s="708">
        <f t="shared" ref="V21:V22" si="19">V124</f>
        <v>0</v>
      </c>
      <c r="W21" s="708"/>
      <c r="X21" s="708">
        <f t="shared" ref="X21:X22" si="20">X124</f>
        <v>0</v>
      </c>
      <c r="Y21" s="708"/>
      <c r="Z21" s="708">
        <f t="shared" ref="Z21:Z22" si="21">SUM(T21:X21)</f>
        <v>0</v>
      </c>
      <c r="AA21" s="708"/>
      <c r="AB21" s="609" t="s">
        <v>1406</v>
      </c>
      <c r="AC21" s="708"/>
      <c r="AD21" s="708">
        <f t="shared" ref="AD21:AD22" si="22">AD124</f>
        <v>0</v>
      </c>
      <c r="AE21" s="708"/>
      <c r="AF21" s="708">
        <f t="shared" ref="AF21:AF22" si="23">AF124</f>
        <v>0</v>
      </c>
      <c r="AG21" s="708"/>
      <c r="AH21" s="708">
        <f t="shared" ref="AH21:AH22" si="24">AH124</f>
        <v>0</v>
      </c>
      <c r="AI21" s="708"/>
      <c r="AJ21" s="702" t="s">
        <v>1423</v>
      </c>
      <c r="AK21" s="708"/>
      <c r="AL21" s="708">
        <f t="shared" ref="AL21:AL22" si="25">AL124</f>
        <v>0</v>
      </c>
      <c r="AM21" s="708"/>
      <c r="AN21" s="708">
        <f t="shared" ref="AN21:AN22" si="26">AN124</f>
        <v>0</v>
      </c>
      <c r="AO21" s="708"/>
      <c r="AP21" s="708">
        <f t="shared" ref="AP21:AP22" si="27">AP124</f>
        <v>0</v>
      </c>
      <c r="AQ21" s="708"/>
      <c r="AR21" s="708">
        <f t="shared" si="13"/>
        <v>0</v>
      </c>
      <c r="AS21" s="708"/>
      <c r="AT21" s="708">
        <f t="shared" ref="AT21:AT22" si="28">AT124</f>
        <v>0</v>
      </c>
      <c r="AU21" s="708"/>
      <c r="AV21" s="708">
        <f t="shared" ref="AV21:AV22" si="29">AV124</f>
        <v>0</v>
      </c>
      <c r="AW21" s="708"/>
      <c r="AX21" s="708">
        <f t="shared" ref="AX21:AX22" si="30">AX124</f>
        <v>0</v>
      </c>
      <c r="AY21" s="708"/>
      <c r="AZ21" s="607">
        <f t="shared" ref="AZ21:BD22" si="31">+AL21+AT21</f>
        <v>0</v>
      </c>
      <c r="BA21" s="708"/>
      <c r="BB21" s="607">
        <f t="shared" si="31"/>
        <v>0</v>
      </c>
      <c r="BC21" s="708"/>
      <c r="BD21" s="607">
        <f t="shared" si="31"/>
        <v>0</v>
      </c>
      <c r="BE21" s="708"/>
      <c r="BF21" s="708">
        <f t="shared" ref="BF21:BF22" si="32">SUM(AZ21:BD21)</f>
        <v>0</v>
      </c>
      <c r="BG21" s="708"/>
      <c r="BH21" s="708">
        <f>BH125</f>
        <v>0</v>
      </c>
      <c r="BI21" s="614"/>
      <c r="BJ21" s="592">
        <f>A21</f>
        <v>108</v>
      </c>
    </row>
    <row r="22" spans="1:62">
      <c r="A22" s="592">
        <f t="shared" si="14"/>
        <v>109</v>
      </c>
      <c r="B22" s="702" t="s">
        <v>127</v>
      </c>
      <c r="C22" s="699"/>
      <c r="D22" s="592"/>
      <c r="E22" s="592"/>
      <c r="F22" s="592"/>
      <c r="G22" s="592"/>
      <c r="H22" s="717">
        <f t="shared" si="15"/>
        <v>0</v>
      </c>
      <c r="I22" s="592"/>
      <c r="J22" s="717">
        <f t="shared" si="16"/>
        <v>0</v>
      </c>
      <c r="K22" s="717"/>
      <c r="L22" s="717">
        <f t="shared" si="16"/>
        <v>0</v>
      </c>
      <c r="M22" s="717"/>
      <c r="N22" s="717">
        <f t="shared" si="17"/>
        <v>0</v>
      </c>
      <c r="O22" s="717"/>
      <c r="Q22" s="717"/>
      <c r="R22" s="702" t="s">
        <v>1423</v>
      </c>
      <c r="S22" s="592"/>
      <c r="T22" s="717">
        <f t="shared" si="18"/>
        <v>0</v>
      </c>
      <c r="U22" s="717"/>
      <c r="V22" s="717">
        <f t="shared" si="19"/>
        <v>0</v>
      </c>
      <c r="W22" s="717"/>
      <c r="X22" s="717">
        <f t="shared" si="20"/>
        <v>0</v>
      </c>
      <c r="Y22" s="717"/>
      <c r="Z22" s="717">
        <f t="shared" si="21"/>
        <v>0</v>
      </c>
      <c r="AA22" s="708"/>
      <c r="AB22" s="609" t="s">
        <v>1406</v>
      </c>
      <c r="AC22" s="708"/>
      <c r="AD22" s="717">
        <f t="shared" si="22"/>
        <v>0</v>
      </c>
      <c r="AE22" s="717"/>
      <c r="AF22" s="717">
        <f t="shared" si="23"/>
        <v>0</v>
      </c>
      <c r="AG22" s="717"/>
      <c r="AH22" s="717">
        <f t="shared" si="24"/>
        <v>0</v>
      </c>
      <c r="AI22" s="708"/>
      <c r="AJ22" s="702" t="s">
        <v>1423</v>
      </c>
      <c r="AK22" s="708"/>
      <c r="AL22" s="717">
        <f t="shared" si="25"/>
        <v>0</v>
      </c>
      <c r="AM22" s="717"/>
      <c r="AN22" s="717">
        <f t="shared" si="26"/>
        <v>0</v>
      </c>
      <c r="AO22" s="717"/>
      <c r="AP22" s="717">
        <f t="shared" si="27"/>
        <v>0</v>
      </c>
      <c r="AQ22" s="717"/>
      <c r="AR22" s="717">
        <f t="shared" si="13"/>
        <v>0</v>
      </c>
      <c r="AS22" s="708"/>
      <c r="AT22" s="717">
        <f t="shared" si="28"/>
        <v>0</v>
      </c>
      <c r="AU22" s="717"/>
      <c r="AV22" s="717">
        <f t="shared" si="29"/>
        <v>0</v>
      </c>
      <c r="AW22" s="717"/>
      <c r="AX22" s="717">
        <f t="shared" si="30"/>
        <v>0</v>
      </c>
      <c r="AY22" s="708"/>
      <c r="AZ22" s="610">
        <f t="shared" si="31"/>
        <v>0</v>
      </c>
      <c r="BA22" s="717"/>
      <c r="BB22" s="610">
        <f t="shared" si="31"/>
        <v>0</v>
      </c>
      <c r="BC22" s="717"/>
      <c r="BD22" s="610">
        <f t="shared" si="31"/>
        <v>0</v>
      </c>
      <c r="BE22" s="717"/>
      <c r="BF22" s="717">
        <f t="shared" si="32"/>
        <v>0</v>
      </c>
      <c r="BG22" s="708"/>
      <c r="BH22" s="717">
        <f>BH126</f>
        <v>0</v>
      </c>
      <c r="BI22" s="614"/>
      <c r="BJ22" s="592">
        <f>A22</f>
        <v>109</v>
      </c>
    </row>
    <row r="23" spans="1:62">
      <c r="A23" s="592">
        <f t="shared" si="14"/>
        <v>110</v>
      </c>
      <c r="B23" s="699" t="s">
        <v>1424</v>
      </c>
      <c r="C23" s="699"/>
      <c r="D23" s="592"/>
      <c r="E23" s="592"/>
      <c r="F23" s="592"/>
      <c r="G23" s="592"/>
      <c r="H23" s="708">
        <f>SUM(H17:H22)</f>
        <v>0</v>
      </c>
      <c r="I23" s="592"/>
      <c r="J23" s="708">
        <f>SUM(J17:J22)</f>
        <v>0</v>
      </c>
      <c r="K23" s="708"/>
      <c r="L23" s="708">
        <f t="shared" ref="L23" si="33">SUM(L17:L22)</f>
        <v>0</v>
      </c>
      <c r="M23" s="708"/>
      <c r="N23" s="708">
        <f t="shared" ref="N23" si="34">SUM(N17:N22)</f>
        <v>0</v>
      </c>
      <c r="O23" s="708"/>
      <c r="Q23" s="708"/>
      <c r="R23" s="708"/>
      <c r="S23" s="592"/>
      <c r="T23" s="708">
        <f>SUM(T17:T22)</f>
        <v>0</v>
      </c>
      <c r="U23" s="708"/>
      <c r="V23" s="708">
        <f t="shared" ref="V23" si="35">SUM(V17:V22)</f>
        <v>0</v>
      </c>
      <c r="W23" s="708"/>
      <c r="X23" s="708">
        <f t="shared" ref="X23" si="36">SUM(X17:X22)</f>
        <v>0</v>
      </c>
      <c r="Y23" s="708"/>
      <c r="Z23" s="708">
        <f>SUM(Z17:Z22)</f>
        <v>0</v>
      </c>
      <c r="AA23" s="708"/>
      <c r="AB23" s="708"/>
      <c r="AC23" s="708"/>
      <c r="AD23" s="708">
        <f>SUM(AD17:AD22)</f>
        <v>0</v>
      </c>
      <c r="AE23" s="708"/>
      <c r="AF23" s="708">
        <f t="shared" ref="AF23" si="37">SUM(AF17:AF22)</f>
        <v>0</v>
      </c>
      <c r="AG23" s="708"/>
      <c r="AH23" s="708">
        <f t="shared" ref="AH23" si="38">SUM(AH17:AH22)</f>
        <v>0</v>
      </c>
      <c r="AI23" s="708"/>
      <c r="AJ23" s="708"/>
      <c r="AK23" s="708"/>
      <c r="AL23" s="708">
        <f>SUM(AL17:AL22)</f>
        <v>0</v>
      </c>
      <c r="AM23" s="708"/>
      <c r="AN23" s="708">
        <f t="shared" ref="AN23" si="39">SUM(AN17:AN22)</f>
        <v>0</v>
      </c>
      <c r="AO23" s="708"/>
      <c r="AP23" s="708">
        <f t="shared" ref="AP23" si="40">SUM(AP17:AP22)</f>
        <v>0</v>
      </c>
      <c r="AQ23" s="708"/>
      <c r="AR23" s="708">
        <f t="shared" ref="AR23" si="41">SUM(AR17:AR22)</f>
        <v>0</v>
      </c>
      <c r="AS23" s="708"/>
      <c r="AT23" s="708">
        <f>SUM(AT17:AT22)</f>
        <v>0</v>
      </c>
      <c r="AU23" s="708"/>
      <c r="AV23" s="708">
        <f t="shared" ref="AV23" si="42">SUM(AV17:AV22)</f>
        <v>0</v>
      </c>
      <c r="AW23" s="708"/>
      <c r="AX23" s="708">
        <f t="shared" ref="AX23" si="43">SUM(AX17:AX22)</f>
        <v>0</v>
      </c>
      <c r="AY23" s="708"/>
      <c r="AZ23" s="708">
        <f>SUM(AZ17:AZ22)</f>
        <v>0</v>
      </c>
      <c r="BA23" s="708"/>
      <c r="BB23" s="708">
        <f t="shared" ref="BB23" si="44">SUM(BB17:BB22)</f>
        <v>0</v>
      </c>
      <c r="BC23" s="708"/>
      <c r="BD23" s="708">
        <f t="shared" ref="BD23" si="45">SUM(BD17:BD22)</f>
        <v>0</v>
      </c>
      <c r="BE23" s="708"/>
      <c r="BF23" s="708">
        <f t="shared" ref="BF23" si="46">SUM(BF17:BF22)</f>
        <v>0</v>
      </c>
      <c r="BG23" s="708"/>
      <c r="BH23" s="708">
        <f>SUM(BH17:BH22)</f>
        <v>0</v>
      </c>
      <c r="BI23" s="614"/>
      <c r="BJ23" s="592">
        <f>A23</f>
        <v>110</v>
      </c>
    </row>
    <row r="24" spans="1:62">
      <c r="A24" s="592"/>
      <c r="B24" s="699"/>
      <c r="C24" s="699"/>
      <c r="D24" s="592"/>
      <c r="E24" s="592"/>
      <c r="F24" s="592"/>
      <c r="G24" s="592"/>
      <c r="H24" s="592"/>
      <c r="I24" s="592"/>
      <c r="J24" s="592"/>
      <c r="K24" s="592"/>
      <c r="L24" s="592"/>
      <c r="M24" s="592"/>
      <c r="N24" s="592"/>
      <c r="O24" s="592"/>
      <c r="Q24" s="592"/>
      <c r="R24" s="592"/>
      <c r="S24" s="592"/>
      <c r="T24" s="708"/>
      <c r="U24" s="708"/>
      <c r="V24" s="708"/>
      <c r="W24" s="708"/>
      <c r="X24" s="708"/>
      <c r="Y24" s="708"/>
      <c r="Z24" s="708"/>
      <c r="AA24" s="708"/>
      <c r="AB24" s="708"/>
      <c r="AC24" s="708"/>
      <c r="AD24" s="708"/>
      <c r="AE24" s="708"/>
      <c r="AF24" s="708"/>
      <c r="AG24" s="708"/>
      <c r="AH24" s="708"/>
      <c r="AI24" s="708"/>
      <c r="AJ24" s="708"/>
      <c r="AK24" s="708"/>
      <c r="AL24" s="708"/>
      <c r="AM24" s="708"/>
      <c r="AN24" s="708"/>
      <c r="AO24" s="708"/>
      <c r="AP24" s="708"/>
      <c r="AQ24" s="708"/>
      <c r="AR24" s="708"/>
      <c r="AS24" s="708"/>
      <c r="AT24" s="708"/>
      <c r="AU24" s="708"/>
      <c r="AV24" s="708"/>
      <c r="AW24" s="708"/>
      <c r="AX24" s="708"/>
      <c r="AY24" s="708"/>
      <c r="AZ24" s="708"/>
      <c r="BA24" s="708"/>
      <c r="BB24" s="708"/>
      <c r="BC24" s="708"/>
      <c r="BD24" s="708"/>
      <c r="BE24" s="708"/>
      <c r="BF24" s="708"/>
      <c r="BG24" s="708"/>
      <c r="BH24" s="592"/>
      <c r="BI24" s="614"/>
      <c r="BJ24" s="592"/>
    </row>
    <row r="25" spans="1:62">
      <c r="A25" s="324" t="s">
        <v>100</v>
      </c>
      <c r="B25" s="724" t="s">
        <v>1425</v>
      </c>
      <c r="C25" s="615"/>
      <c r="D25" s="591" t="s">
        <v>111</v>
      </c>
      <c r="E25" s="592"/>
      <c r="F25" s="592"/>
      <c r="G25" s="592"/>
      <c r="H25" s="592"/>
      <c r="I25" s="592"/>
      <c r="J25" s="592"/>
      <c r="K25" s="592"/>
      <c r="L25" s="592"/>
      <c r="M25" s="592"/>
      <c r="N25" s="592"/>
      <c r="O25" s="592"/>
      <c r="Q25" s="592"/>
      <c r="R25" s="592"/>
      <c r="S25" s="592"/>
      <c r="T25" s="708"/>
      <c r="U25" s="708"/>
      <c r="V25" s="708"/>
      <c r="W25" s="708"/>
      <c r="X25" s="699"/>
      <c r="Y25" s="699"/>
      <c r="Z25" s="699"/>
      <c r="AA25" s="699"/>
      <c r="AB25" s="699"/>
      <c r="AC25" s="699"/>
      <c r="AD25" s="699"/>
      <c r="AE25" s="699"/>
      <c r="AF25" s="699"/>
      <c r="AG25" s="699"/>
      <c r="AH25" s="699"/>
      <c r="AI25" s="699"/>
      <c r="AJ25" s="699"/>
      <c r="AK25" s="699"/>
      <c r="AL25" s="708"/>
      <c r="AM25" s="708"/>
      <c r="AN25" s="708"/>
      <c r="AO25" s="708"/>
      <c r="AP25" s="699"/>
      <c r="AQ25" s="699"/>
      <c r="AR25" s="699"/>
      <c r="AS25" s="699"/>
      <c r="AT25" s="699"/>
      <c r="AU25" s="699"/>
      <c r="AV25" s="699"/>
      <c r="AW25" s="699"/>
      <c r="AX25" s="699"/>
      <c r="AY25" s="699"/>
      <c r="AZ25" s="708"/>
      <c r="BA25" s="708"/>
      <c r="BB25" s="708"/>
      <c r="BC25" s="708"/>
      <c r="BD25" s="699"/>
      <c r="BE25" s="699"/>
      <c r="BF25" s="699"/>
      <c r="BG25" s="699"/>
      <c r="BH25" s="592"/>
      <c r="BI25" s="614"/>
      <c r="BJ25" s="722" t="s">
        <v>100</v>
      </c>
    </row>
    <row r="26" spans="1:62">
      <c r="A26" s="592">
        <v>200</v>
      </c>
      <c r="B26" s="699" t="s">
        <v>1426</v>
      </c>
      <c r="C26" s="699"/>
      <c r="D26" s="592"/>
      <c r="E26" s="592"/>
      <c r="F26" s="592"/>
      <c r="G26" s="592"/>
      <c r="H26" s="717">
        <f>ROUND(SUM(H27:H31),0)</f>
        <v>0</v>
      </c>
      <c r="I26" s="592"/>
      <c r="J26" s="717">
        <f>ROUND(SUM(J27:J31),0)</f>
        <v>0</v>
      </c>
      <c r="K26" s="708"/>
      <c r="L26" s="717">
        <f>ROUND(SUM(L27:L31),0)</f>
        <v>0</v>
      </c>
      <c r="M26" s="708"/>
      <c r="N26" s="717">
        <f>ROUND(SUM(N27:N31),0)</f>
        <v>0</v>
      </c>
      <c r="O26" s="708"/>
      <c r="Q26" s="592"/>
      <c r="R26" s="592"/>
      <c r="S26" s="592"/>
      <c r="T26" s="717">
        <f>ROUND(SUM(T27:T31),0)</f>
        <v>0</v>
      </c>
      <c r="U26" s="708"/>
      <c r="V26" s="717">
        <f>ROUND(SUM(V27:V31),0)</f>
        <v>0</v>
      </c>
      <c r="W26" s="708"/>
      <c r="X26" s="717">
        <f>ROUND(SUM(X27:X31),0)</f>
        <v>0</v>
      </c>
      <c r="Y26" s="708"/>
      <c r="Z26" s="717">
        <f>ROUND(SUM(Z27:Z31),0)</f>
        <v>0</v>
      </c>
      <c r="AA26" s="708"/>
      <c r="AB26" s="708"/>
      <c r="AC26" s="708"/>
      <c r="AD26" s="717">
        <f>SUM(AD27:AD31)</f>
        <v>0</v>
      </c>
      <c r="AE26" s="708"/>
      <c r="AF26" s="717">
        <f>SUM(AF27:AF31)</f>
        <v>0</v>
      </c>
      <c r="AG26" s="708"/>
      <c r="AH26" s="717">
        <f>SUM(AH27:AH31)</f>
        <v>0</v>
      </c>
      <c r="AI26" s="708"/>
      <c r="AJ26" s="708"/>
      <c r="AK26" s="708"/>
      <c r="AL26" s="717">
        <f>SUM(AL27:AL31)</f>
        <v>0</v>
      </c>
      <c r="AM26" s="708"/>
      <c r="AN26" s="717">
        <f>SUM(AN27:AN31)</f>
        <v>0</v>
      </c>
      <c r="AO26" s="708"/>
      <c r="AP26" s="717">
        <f>SUM(AP27:AP31)</f>
        <v>0</v>
      </c>
      <c r="AQ26" s="708"/>
      <c r="AR26" s="717">
        <f>SUM(AR27:AR31)</f>
        <v>0</v>
      </c>
      <c r="AS26" s="708"/>
      <c r="AT26" s="717">
        <f>SUM(AT27:AT31)</f>
        <v>0</v>
      </c>
      <c r="AU26" s="708"/>
      <c r="AV26" s="717">
        <f>SUM(AV27:AV31)</f>
        <v>0</v>
      </c>
      <c r="AW26" s="708"/>
      <c r="AX26" s="717">
        <f>SUM(AX27:AX31)</f>
        <v>0</v>
      </c>
      <c r="AY26" s="708"/>
      <c r="AZ26" s="717">
        <f>SUM(AZ27:AZ31)</f>
        <v>0</v>
      </c>
      <c r="BA26" s="708"/>
      <c r="BB26" s="717">
        <f>SUM(BB27:BB31)</f>
        <v>0</v>
      </c>
      <c r="BC26" s="708"/>
      <c r="BD26" s="717">
        <f>SUM(BD27:BD31)</f>
        <v>0</v>
      </c>
      <c r="BE26" s="708"/>
      <c r="BF26" s="717">
        <f>SUM(BF27:BF31)</f>
        <v>0</v>
      </c>
      <c r="BG26" s="708"/>
      <c r="BH26" s="717">
        <f>ROUND(SUM(BH27:BH31),0)</f>
        <v>0</v>
      </c>
      <c r="BI26" s="723"/>
      <c r="BJ26" s="592">
        <f t="shared" ref="BJ26:BJ31" si="47">A26</f>
        <v>200</v>
      </c>
    </row>
    <row r="27" spans="1:62">
      <c r="A27" s="592">
        <f t="shared" si="14"/>
        <v>201</v>
      </c>
      <c r="B27" s="725" t="s">
        <v>1427</v>
      </c>
      <c r="C27" s="699"/>
      <c r="D27" s="699" t="s">
        <v>1428</v>
      </c>
      <c r="E27" s="699"/>
      <c r="F27" s="702" t="s">
        <v>1404</v>
      </c>
      <c r="G27" s="699"/>
      <c r="H27" s="719"/>
      <c r="I27" s="592"/>
      <c r="J27" s="719"/>
      <c r="K27" s="708"/>
      <c r="L27" s="719"/>
      <c r="M27" s="708"/>
      <c r="N27" s="719"/>
      <c r="O27" s="708"/>
      <c r="Q27" s="592"/>
      <c r="R27" s="702" t="s">
        <v>1405</v>
      </c>
      <c r="S27" s="592"/>
      <c r="T27" s="708">
        <f>N27</f>
        <v>0</v>
      </c>
      <c r="U27" s="708"/>
      <c r="V27" s="708">
        <v>0</v>
      </c>
      <c r="W27" s="708"/>
      <c r="X27" s="708">
        <v>0</v>
      </c>
      <c r="Y27" s="708"/>
      <c r="Z27" s="708">
        <f t="shared" ref="Z27:Z31" si="48">SUM(T27:X27)</f>
        <v>0</v>
      </c>
      <c r="AA27" s="708"/>
      <c r="AB27" s="609" t="s">
        <v>1406</v>
      </c>
      <c r="AC27" s="708"/>
      <c r="AD27" s="719"/>
      <c r="AE27" s="708"/>
      <c r="AF27" s="708">
        <v>0</v>
      </c>
      <c r="AG27" s="708"/>
      <c r="AH27" s="708">
        <v>0</v>
      </c>
      <c r="AI27" s="708"/>
      <c r="AJ27" s="609" t="s">
        <v>1407</v>
      </c>
      <c r="AK27" s="708"/>
      <c r="AL27" s="607">
        <f>+T27-AD27</f>
        <v>0</v>
      </c>
      <c r="AM27" s="708"/>
      <c r="AN27" s="607">
        <f>+V27-AF27</f>
        <v>0</v>
      </c>
      <c r="AO27" s="708"/>
      <c r="AP27" s="607">
        <f>+X27-AH27</f>
        <v>0</v>
      </c>
      <c r="AQ27" s="708"/>
      <c r="AR27" s="708">
        <f t="shared" ref="AR27:AR31" si="49">SUM(AL27:AP27)</f>
        <v>0</v>
      </c>
      <c r="AS27" s="708"/>
      <c r="AT27" s="719"/>
      <c r="AU27" s="708"/>
      <c r="AV27" s="708">
        <v>0</v>
      </c>
      <c r="AW27" s="708"/>
      <c r="AX27" s="708">
        <v>0</v>
      </c>
      <c r="AY27" s="708"/>
      <c r="AZ27" s="607">
        <f>+AL27-AT27</f>
        <v>0</v>
      </c>
      <c r="BA27" s="708"/>
      <c r="BB27" s="607">
        <f>+AN27-AV27</f>
        <v>0</v>
      </c>
      <c r="BC27" s="708"/>
      <c r="BD27" s="607">
        <f>+AP27-AX27</f>
        <v>0</v>
      </c>
      <c r="BE27" s="708"/>
      <c r="BF27" s="708">
        <f t="shared" ref="BF27:BF31" si="50">SUM(AZ27:BD27)</f>
        <v>0</v>
      </c>
      <c r="BG27" s="708"/>
      <c r="BH27" s="708">
        <f>+BF27*$BH$9</f>
        <v>0</v>
      </c>
      <c r="BI27" s="723"/>
      <c r="BJ27" s="592">
        <f t="shared" si="47"/>
        <v>201</v>
      </c>
    </row>
    <row r="28" spans="1:62">
      <c r="A28" s="592">
        <f t="shared" si="14"/>
        <v>202</v>
      </c>
      <c r="B28" s="725" t="s">
        <v>1429</v>
      </c>
      <c r="C28" s="699"/>
      <c r="D28" s="699" t="s">
        <v>1428</v>
      </c>
      <c r="E28" s="699"/>
      <c r="F28" s="702" t="s">
        <v>1404</v>
      </c>
      <c r="G28" s="699"/>
      <c r="H28" s="719"/>
      <c r="I28" s="592"/>
      <c r="J28" s="719"/>
      <c r="K28" s="708"/>
      <c r="L28" s="719"/>
      <c r="M28" s="708"/>
      <c r="N28" s="719"/>
      <c r="O28" s="708"/>
      <c r="Q28" s="592"/>
      <c r="R28" s="702" t="s">
        <v>1405</v>
      </c>
      <c r="S28" s="592"/>
      <c r="T28" s="708">
        <f t="shared" ref="T28:T29" si="51">N28</f>
        <v>0</v>
      </c>
      <c r="U28" s="708"/>
      <c r="V28" s="708">
        <v>0</v>
      </c>
      <c r="W28" s="708"/>
      <c r="X28" s="708">
        <v>0</v>
      </c>
      <c r="Y28" s="708"/>
      <c r="Z28" s="708">
        <f t="shared" si="48"/>
        <v>0</v>
      </c>
      <c r="AA28" s="708"/>
      <c r="AB28" s="609" t="s">
        <v>1406</v>
      </c>
      <c r="AC28" s="708"/>
      <c r="AD28" s="719"/>
      <c r="AE28" s="708"/>
      <c r="AF28" s="708">
        <v>0</v>
      </c>
      <c r="AG28" s="708"/>
      <c r="AH28" s="708">
        <v>0</v>
      </c>
      <c r="AI28" s="708"/>
      <c r="AJ28" s="609" t="s">
        <v>1407</v>
      </c>
      <c r="AK28" s="708"/>
      <c r="AL28" s="607">
        <f t="shared" ref="AL28:AP31" si="52">+T28-AD28</f>
        <v>0</v>
      </c>
      <c r="AM28" s="708"/>
      <c r="AN28" s="607">
        <f t="shared" si="52"/>
        <v>0</v>
      </c>
      <c r="AO28" s="708"/>
      <c r="AP28" s="607">
        <f t="shared" si="52"/>
        <v>0</v>
      </c>
      <c r="AQ28" s="708"/>
      <c r="AR28" s="708">
        <f t="shared" si="49"/>
        <v>0</v>
      </c>
      <c r="AS28" s="708"/>
      <c r="AT28" s="719"/>
      <c r="AU28" s="708"/>
      <c r="AV28" s="708">
        <v>0</v>
      </c>
      <c r="AW28" s="708"/>
      <c r="AX28" s="708">
        <v>0</v>
      </c>
      <c r="AY28" s="708"/>
      <c r="AZ28" s="607">
        <f t="shared" ref="AZ28:BD31" si="53">+AL28-AT28</f>
        <v>0</v>
      </c>
      <c r="BA28" s="708"/>
      <c r="BB28" s="607">
        <f t="shared" si="53"/>
        <v>0</v>
      </c>
      <c r="BC28" s="708"/>
      <c r="BD28" s="607">
        <f t="shared" si="53"/>
        <v>0</v>
      </c>
      <c r="BE28" s="708"/>
      <c r="BF28" s="708">
        <f t="shared" si="50"/>
        <v>0</v>
      </c>
      <c r="BG28" s="708"/>
      <c r="BH28" s="708">
        <f>+BF28*$BH$9</f>
        <v>0</v>
      </c>
      <c r="BI28" s="723"/>
      <c r="BJ28" s="592">
        <f t="shared" si="47"/>
        <v>202</v>
      </c>
    </row>
    <row r="29" spans="1:62">
      <c r="A29" s="592">
        <f t="shared" si="14"/>
        <v>203</v>
      </c>
      <c r="B29" s="725" t="s">
        <v>1430</v>
      </c>
      <c r="C29" s="699"/>
      <c r="D29" s="699" t="s">
        <v>1428</v>
      </c>
      <c r="E29" s="699"/>
      <c r="F29" s="702" t="s">
        <v>1404</v>
      </c>
      <c r="G29" s="699"/>
      <c r="H29" s="719"/>
      <c r="I29" s="592"/>
      <c r="J29" s="719"/>
      <c r="K29" s="708"/>
      <c r="L29" s="719"/>
      <c r="M29" s="708"/>
      <c r="N29" s="719"/>
      <c r="O29" s="708"/>
      <c r="Q29" s="592"/>
      <c r="R29" s="702" t="s">
        <v>1405</v>
      </c>
      <c r="S29" s="592"/>
      <c r="T29" s="708">
        <f t="shared" si="51"/>
        <v>0</v>
      </c>
      <c r="U29" s="708"/>
      <c r="V29" s="708">
        <v>0</v>
      </c>
      <c r="W29" s="708"/>
      <c r="X29" s="708">
        <v>0</v>
      </c>
      <c r="Y29" s="708"/>
      <c r="Z29" s="708">
        <f t="shared" si="48"/>
        <v>0</v>
      </c>
      <c r="AA29" s="708"/>
      <c r="AB29" s="609" t="s">
        <v>1406</v>
      </c>
      <c r="AC29" s="708"/>
      <c r="AD29" s="719"/>
      <c r="AE29" s="708"/>
      <c r="AF29" s="708">
        <v>0</v>
      </c>
      <c r="AG29" s="708"/>
      <c r="AH29" s="708">
        <v>0</v>
      </c>
      <c r="AI29" s="708"/>
      <c r="AJ29" s="609" t="s">
        <v>1407</v>
      </c>
      <c r="AK29" s="708"/>
      <c r="AL29" s="607">
        <f t="shared" si="52"/>
        <v>0</v>
      </c>
      <c r="AM29" s="708"/>
      <c r="AN29" s="607">
        <f t="shared" si="52"/>
        <v>0</v>
      </c>
      <c r="AO29" s="708"/>
      <c r="AP29" s="607">
        <f t="shared" si="52"/>
        <v>0</v>
      </c>
      <c r="AQ29" s="708"/>
      <c r="AR29" s="708">
        <f t="shared" si="49"/>
        <v>0</v>
      </c>
      <c r="AS29" s="708"/>
      <c r="AT29" s="719"/>
      <c r="AU29" s="708"/>
      <c r="AV29" s="708">
        <v>0</v>
      </c>
      <c r="AW29" s="708"/>
      <c r="AX29" s="708">
        <v>0</v>
      </c>
      <c r="AY29" s="708"/>
      <c r="AZ29" s="607">
        <f t="shared" si="53"/>
        <v>0</v>
      </c>
      <c r="BA29" s="708"/>
      <c r="BB29" s="607">
        <f t="shared" si="53"/>
        <v>0</v>
      </c>
      <c r="BC29" s="708"/>
      <c r="BD29" s="607">
        <f t="shared" si="53"/>
        <v>0</v>
      </c>
      <c r="BE29" s="708"/>
      <c r="BF29" s="708">
        <f t="shared" si="50"/>
        <v>0</v>
      </c>
      <c r="BG29" s="708"/>
      <c r="BH29" s="708">
        <f>+BF29*$BH$9</f>
        <v>0</v>
      </c>
      <c r="BI29" s="723"/>
      <c r="BJ29" s="592">
        <f t="shared" si="47"/>
        <v>203</v>
      </c>
    </row>
    <row r="30" spans="1:62">
      <c r="A30" s="592">
        <f t="shared" si="14"/>
        <v>204</v>
      </c>
      <c r="B30" s="726" t="s">
        <v>127</v>
      </c>
      <c r="C30" s="699"/>
      <c r="D30" s="592"/>
      <c r="E30" s="592"/>
      <c r="F30" s="592"/>
      <c r="G30" s="592"/>
      <c r="H30" s="719"/>
      <c r="I30" s="592"/>
      <c r="J30" s="719"/>
      <c r="K30" s="708"/>
      <c r="L30" s="719"/>
      <c r="M30" s="708"/>
      <c r="N30" s="719"/>
      <c r="O30" s="708"/>
      <c r="Q30" s="592"/>
      <c r="R30" s="592"/>
      <c r="S30" s="592"/>
      <c r="T30" s="708">
        <v>0</v>
      </c>
      <c r="U30" s="708"/>
      <c r="V30" s="708">
        <v>0</v>
      </c>
      <c r="W30" s="708"/>
      <c r="X30" s="708">
        <v>0</v>
      </c>
      <c r="Y30" s="708"/>
      <c r="Z30" s="708">
        <f t="shared" si="48"/>
        <v>0</v>
      </c>
      <c r="AA30" s="708"/>
      <c r="AB30" s="708"/>
      <c r="AC30" s="708"/>
      <c r="AD30" s="719"/>
      <c r="AE30" s="708"/>
      <c r="AF30" s="708">
        <v>0</v>
      </c>
      <c r="AG30" s="708"/>
      <c r="AH30" s="708">
        <v>0</v>
      </c>
      <c r="AI30" s="708"/>
      <c r="AJ30" s="708"/>
      <c r="AK30" s="708"/>
      <c r="AL30" s="607">
        <f t="shared" si="52"/>
        <v>0</v>
      </c>
      <c r="AM30" s="708"/>
      <c r="AN30" s="607">
        <f t="shared" si="52"/>
        <v>0</v>
      </c>
      <c r="AO30" s="708"/>
      <c r="AP30" s="607">
        <f t="shared" si="52"/>
        <v>0</v>
      </c>
      <c r="AQ30" s="708"/>
      <c r="AR30" s="708">
        <f t="shared" si="49"/>
        <v>0</v>
      </c>
      <c r="AS30" s="708"/>
      <c r="AT30" s="719"/>
      <c r="AU30" s="708"/>
      <c r="AV30" s="708">
        <v>0</v>
      </c>
      <c r="AW30" s="708"/>
      <c r="AX30" s="708">
        <v>0</v>
      </c>
      <c r="AY30" s="708"/>
      <c r="AZ30" s="607">
        <f t="shared" si="53"/>
        <v>0</v>
      </c>
      <c r="BA30" s="708"/>
      <c r="BB30" s="607">
        <f t="shared" si="53"/>
        <v>0</v>
      </c>
      <c r="BC30" s="708"/>
      <c r="BD30" s="607">
        <f t="shared" si="53"/>
        <v>0</v>
      </c>
      <c r="BE30" s="708"/>
      <c r="BF30" s="708">
        <f t="shared" si="50"/>
        <v>0</v>
      </c>
      <c r="BG30" s="708"/>
      <c r="BH30" s="708">
        <f>+BF30*$BH$9</f>
        <v>0</v>
      </c>
      <c r="BI30" s="723"/>
      <c r="BJ30" s="592">
        <f t="shared" si="47"/>
        <v>204</v>
      </c>
    </row>
    <row r="31" spans="1:62">
      <c r="A31" s="592">
        <f>+A30+1</f>
        <v>205</v>
      </c>
      <c r="B31" s="726" t="s">
        <v>127</v>
      </c>
      <c r="C31" s="727"/>
      <c r="D31" s="699"/>
      <c r="E31" s="699"/>
      <c r="F31" s="702"/>
      <c r="G31" s="699"/>
      <c r="H31" s="719"/>
      <c r="I31" s="699"/>
      <c r="J31" s="719"/>
      <c r="K31" s="708"/>
      <c r="L31" s="719"/>
      <c r="M31" s="708"/>
      <c r="N31" s="719"/>
      <c r="O31" s="708"/>
      <c r="Q31" s="699"/>
      <c r="R31" s="699"/>
      <c r="S31" s="699"/>
      <c r="T31" s="708">
        <v>0</v>
      </c>
      <c r="U31" s="708"/>
      <c r="V31" s="708">
        <v>0</v>
      </c>
      <c r="W31" s="708"/>
      <c r="X31" s="708">
        <v>0</v>
      </c>
      <c r="Y31" s="708"/>
      <c r="Z31" s="708">
        <f t="shared" si="48"/>
        <v>0</v>
      </c>
      <c r="AA31" s="708"/>
      <c r="AB31" s="708"/>
      <c r="AC31" s="708"/>
      <c r="AD31" s="719"/>
      <c r="AE31" s="708"/>
      <c r="AF31" s="708">
        <v>0</v>
      </c>
      <c r="AG31" s="708"/>
      <c r="AH31" s="708">
        <v>0</v>
      </c>
      <c r="AI31" s="708"/>
      <c r="AJ31" s="708"/>
      <c r="AK31" s="708"/>
      <c r="AL31" s="607">
        <f t="shared" si="52"/>
        <v>0</v>
      </c>
      <c r="AM31" s="708"/>
      <c r="AN31" s="607">
        <f t="shared" si="52"/>
        <v>0</v>
      </c>
      <c r="AO31" s="708"/>
      <c r="AP31" s="607">
        <f t="shared" si="52"/>
        <v>0</v>
      </c>
      <c r="AQ31" s="708"/>
      <c r="AR31" s="708">
        <f t="shared" si="49"/>
        <v>0</v>
      </c>
      <c r="AS31" s="593"/>
      <c r="AT31" s="719"/>
      <c r="AU31" s="708"/>
      <c r="AV31" s="708">
        <v>0</v>
      </c>
      <c r="AW31" s="708"/>
      <c r="AX31" s="708">
        <v>0</v>
      </c>
      <c r="AY31" s="708"/>
      <c r="AZ31" s="607">
        <f t="shared" si="53"/>
        <v>0</v>
      </c>
      <c r="BA31" s="708"/>
      <c r="BB31" s="607">
        <f t="shared" si="53"/>
        <v>0</v>
      </c>
      <c r="BC31" s="708"/>
      <c r="BD31" s="607">
        <f t="shared" si="53"/>
        <v>0</v>
      </c>
      <c r="BE31" s="708"/>
      <c r="BF31" s="708">
        <f t="shared" si="50"/>
        <v>0</v>
      </c>
      <c r="BG31" s="708"/>
      <c r="BH31" s="708">
        <f>+BF31*$BH$9</f>
        <v>0</v>
      </c>
      <c r="BI31" s="699"/>
      <c r="BJ31" s="592">
        <f t="shared" si="47"/>
        <v>205</v>
      </c>
    </row>
    <row r="32" spans="1:62">
      <c r="A32" s="592"/>
      <c r="B32" s="702"/>
      <c r="C32" s="727"/>
      <c r="D32" s="699"/>
      <c r="E32" s="699"/>
      <c r="F32" s="702"/>
      <c r="G32" s="699"/>
      <c r="H32" s="708"/>
      <c r="I32" s="699"/>
      <c r="J32" s="708"/>
      <c r="K32" s="708"/>
      <c r="L32" s="708"/>
      <c r="M32" s="708"/>
      <c r="N32" s="708"/>
      <c r="O32" s="708"/>
      <c r="Q32" s="699"/>
      <c r="R32" s="699"/>
      <c r="S32" s="699"/>
      <c r="T32" s="708"/>
      <c r="U32" s="708"/>
      <c r="V32" s="708"/>
      <c r="W32" s="708"/>
      <c r="X32" s="708"/>
      <c r="Y32" s="708"/>
      <c r="Z32" s="708"/>
      <c r="AA32" s="708"/>
      <c r="AB32" s="708"/>
      <c r="AC32" s="708"/>
      <c r="AD32" s="708"/>
      <c r="AE32" s="708"/>
      <c r="AF32" s="708"/>
      <c r="AG32" s="708"/>
      <c r="AH32" s="708"/>
      <c r="AI32" s="708"/>
      <c r="AJ32" s="708"/>
      <c r="AK32" s="708"/>
      <c r="AL32" s="708"/>
      <c r="AM32" s="708"/>
      <c r="AN32" s="708"/>
      <c r="AO32" s="708"/>
      <c r="AP32" s="708"/>
      <c r="AQ32" s="708"/>
      <c r="AR32" s="708"/>
      <c r="AS32" s="593"/>
      <c r="AT32" s="708"/>
      <c r="AU32" s="708"/>
      <c r="AV32" s="708"/>
      <c r="AW32" s="708"/>
      <c r="AX32" s="708"/>
      <c r="AY32" s="708"/>
      <c r="AZ32" s="708"/>
      <c r="BA32" s="708"/>
      <c r="BB32" s="708"/>
      <c r="BC32" s="708"/>
      <c r="BD32" s="708"/>
      <c r="BE32" s="708"/>
      <c r="BF32" s="708"/>
      <c r="BG32" s="708"/>
      <c r="BH32" s="708"/>
      <c r="BI32" s="699"/>
      <c r="BJ32" s="592"/>
    </row>
    <row r="33" spans="1:62">
      <c r="A33" s="324" t="s">
        <v>100</v>
      </c>
      <c r="B33" s="711"/>
      <c r="BJ33" s="722" t="s">
        <v>100</v>
      </c>
    </row>
    <row r="34" spans="1:62">
      <c r="A34" s="592">
        <v>300</v>
      </c>
      <c r="B34" s="699" t="s">
        <v>1431</v>
      </c>
      <c r="H34" s="717">
        <f>SUM(H35:H39)</f>
        <v>0</v>
      </c>
      <c r="J34" s="717">
        <f>SUM(J35:J39)</f>
        <v>0</v>
      </c>
      <c r="K34" s="708"/>
      <c r="L34" s="717">
        <f>SUM(L35:L39)</f>
        <v>0</v>
      </c>
      <c r="M34" s="708"/>
      <c r="N34" s="717">
        <f>SUM(N35:N39)</f>
        <v>0</v>
      </c>
      <c r="O34" s="708"/>
      <c r="Q34" s="592"/>
      <c r="R34" s="592"/>
      <c r="S34" s="592"/>
      <c r="T34" s="717">
        <f>SUM(T35:T39)</f>
        <v>0</v>
      </c>
      <c r="U34" s="708"/>
      <c r="V34" s="717">
        <f>SUM(V35:V39)</f>
        <v>0</v>
      </c>
      <c r="W34" s="708"/>
      <c r="X34" s="717">
        <f>SUM(X35:X39)</f>
        <v>0</v>
      </c>
      <c r="Y34" s="708"/>
      <c r="Z34" s="717">
        <f>SUM(Z35:Z39)</f>
        <v>0</v>
      </c>
      <c r="AA34" s="708"/>
      <c r="AB34" s="708"/>
      <c r="AC34" s="708"/>
      <c r="AD34" s="717">
        <f>SUM(AD35:AD39)</f>
        <v>0</v>
      </c>
      <c r="AE34" s="708"/>
      <c r="AF34" s="717">
        <f>SUM(AF35:AF39)</f>
        <v>0</v>
      </c>
      <c r="AG34" s="708"/>
      <c r="AH34" s="717">
        <f>SUM(AH35:AH39)</f>
        <v>0</v>
      </c>
      <c r="AI34" s="708"/>
      <c r="AJ34" s="708"/>
      <c r="AK34" s="708"/>
      <c r="AL34" s="717">
        <f>SUM(AL35:AL39)</f>
        <v>0</v>
      </c>
      <c r="AM34" s="708"/>
      <c r="AN34" s="717">
        <f>SUM(AN35:AN39)</f>
        <v>0</v>
      </c>
      <c r="AO34" s="708"/>
      <c r="AP34" s="717">
        <f>SUM(AP35:AP39)</f>
        <v>0</v>
      </c>
      <c r="AQ34" s="708"/>
      <c r="AR34" s="717">
        <f>SUM(AR35:AR39)</f>
        <v>0</v>
      </c>
      <c r="AT34" s="717">
        <f>SUM(AT35:AT39)</f>
        <v>0</v>
      </c>
      <c r="AU34" s="708"/>
      <c r="AV34" s="717">
        <f>SUM(AV35:AV39)</f>
        <v>0</v>
      </c>
      <c r="AW34" s="708"/>
      <c r="AX34" s="717">
        <f>SUM(AX35:AX39)</f>
        <v>0</v>
      </c>
      <c r="AY34" s="708"/>
      <c r="AZ34" s="717">
        <f>SUM(AZ35:AZ39)</f>
        <v>0</v>
      </c>
      <c r="BA34" s="708"/>
      <c r="BB34" s="717">
        <f>SUM(BB35:BB39)</f>
        <v>0</v>
      </c>
      <c r="BC34" s="708"/>
      <c r="BD34" s="717">
        <f>SUM(BD35:BD39)</f>
        <v>0</v>
      </c>
      <c r="BE34" s="708"/>
      <c r="BF34" s="717">
        <f>SUM(BF35:BF39)</f>
        <v>0</v>
      </c>
      <c r="BG34" s="708"/>
      <c r="BH34" s="717">
        <f>SUM(BH35:BH39)</f>
        <v>0</v>
      </c>
      <c r="BJ34" s="592">
        <f t="shared" ref="BJ34:BJ39" si="54">A34</f>
        <v>300</v>
      </c>
    </row>
    <row r="35" spans="1:62">
      <c r="A35" s="592">
        <f t="shared" ref="A35:A38" si="55">A34+1</f>
        <v>301</v>
      </c>
      <c r="B35" s="637" t="s">
        <v>1432</v>
      </c>
      <c r="D35" s="701" t="s">
        <v>1433</v>
      </c>
      <c r="F35" s="711" t="s">
        <v>1404</v>
      </c>
      <c r="H35" s="719"/>
      <c r="J35" s="719"/>
      <c r="K35" s="708"/>
      <c r="L35" s="719"/>
      <c r="M35" s="708"/>
      <c r="N35" s="719"/>
      <c r="O35" s="708"/>
      <c r="R35" s="702" t="s">
        <v>1405</v>
      </c>
      <c r="T35" s="708">
        <f t="shared" ref="T35:T39" si="56">N35</f>
        <v>0</v>
      </c>
      <c r="U35" s="708"/>
      <c r="V35" s="708">
        <v>0</v>
      </c>
      <c r="W35" s="708"/>
      <c r="X35" s="708">
        <v>0</v>
      </c>
      <c r="Y35" s="708"/>
      <c r="Z35" s="708">
        <f>SUM(T35:X35)</f>
        <v>0</v>
      </c>
      <c r="AA35" s="708"/>
      <c r="AB35" s="708"/>
      <c r="AC35" s="708"/>
      <c r="AD35" s="719"/>
      <c r="AE35" s="708"/>
      <c r="AF35" s="719"/>
      <c r="AG35" s="708"/>
      <c r="AH35" s="708">
        <v>0</v>
      </c>
      <c r="AI35" s="708"/>
      <c r="AJ35" s="708"/>
      <c r="AK35" s="708"/>
      <c r="AL35" s="607">
        <f>+T35-AD35</f>
        <v>0</v>
      </c>
      <c r="AM35" s="708"/>
      <c r="AN35" s="607">
        <f>+V35-AF35</f>
        <v>0</v>
      </c>
      <c r="AO35" s="708"/>
      <c r="AP35" s="607">
        <f>+X35-AH35</f>
        <v>0</v>
      </c>
      <c r="AQ35" s="708"/>
      <c r="AR35" s="708">
        <f t="shared" ref="AR35:AR39" si="57">SUM(AL35:AP35)</f>
        <v>0</v>
      </c>
      <c r="AT35" s="719"/>
      <c r="AU35" s="708"/>
      <c r="AV35" s="719"/>
      <c r="AW35" s="708"/>
      <c r="AX35" s="708">
        <v>0</v>
      </c>
      <c r="AY35" s="708"/>
      <c r="AZ35" s="607">
        <f>+AL35-AT35</f>
        <v>0</v>
      </c>
      <c r="BA35" s="708"/>
      <c r="BB35" s="607">
        <f>+AN35-AV35</f>
        <v>0</v>
      </c>
      <c r="BC35" s="708"/>
      <c r="BD35" s="607">
        <f>+AP35-AX35</f>
        <v>0</v>
      </c>
      <c r="BE35" s="708"/>
      <c r="BF35" s="708">
        <f t="shared" ref="BF35:BF39" si="58">SUM(AZ35:BD35)</f>
        <v>0</v>
      </c>
      <c r="BG35" s="708"/>
      <c r="BH35" s="708">
        <f>+BF35*$BH$9</f>
        <v>0</v>
      </c>
      <c r="BJ35" s="592">
        <f t="shared" si="54"/>
        <v>301</v>
      </c>
    </row>
    <row r="36" spans="1:62">
      <c r="A36" s="592">
        <f t="shared" si="55"/>
        <v>302</v>
      </c>
      <c r="B36" s="637" t="s">
        <v>1432</v>
      </c>
      <c r="D36" s="701" t="s">
        <v>1433</v>
      </c>
      <c r="F36" s="711" t="s">
        <v>1404</v>
      </c>
      <c r="H36" s="719"/>
      <c r="J36" s="719"/>
      <c r="K36" s="708"/>
      <c r="L36" s="719"/>
      <c r="M36" s="708"/>
      <c r="N36" s="719"/>
      <c r="O36" s="708"/>
      <c r="R36" s="702" t="s">
        <v>1405</v>
      </c>
      <c r="T36" s="708">
        <f t="shared" si="56"/>
        <v>0</v>
      </c>
      <c r="U36" s="708"/>
      <c r="V36" s="708">
        <v>0</v>
      </c>
      <c r="W36" s="708"/>
      <c r="X36" s="708">
        <v>0</v>
      </c>
      <c r="Y36" s="708"/>
      <c r="Z36" s="708">
        <f t="shared" ref="Z36:Z39" si="59">SUM(T36:X36)</f>
        <v>0</v>
      </c>
      <c r="AA36" s="708"/>
      <c r="AB36" s="708"/>
      <c r="AC36" s="708"/>
      <c r="AD36" s="719"/>
      <c r="AE36" s="708"/>
      <c r="AF36" s="719"/>
      <c r="AG36" s="708"/>
      <c r="AH36" s="708">
        <v>0</v>
      </c>
      <c r="AI36" s="708"/>
      <c r="AJ36" s="708"/>
      <c r="AK36" s="708"/>
      <c r="AL36" s="607">
        <f t="shared" ref="AL36:AP39" si="60">+T36-AD36</f>
        <v>0</v>
      </c>
      <c r="AM36" s="708"/>
      <c r="AN36" s="607">
        <f t="shared" si="60"/>
        <v>0</v>
      </c>
      <c r="AO36" s="708"/>
      <c r="AP36" s="607">
        <f t="shared" si="60"/>
        <v>0</v>
      </c>
      <c r="AQ36" s="708"/>
      <c r="AR36" s="708">
        <f t="shared" si="57"/>
        <v>0</v>
      </c>
      <c r="AT36" s="719"/>
      <c r="AU36" s="708"/>
      <c r="AV36" s="719"/>
      <c r="AW36" s="708"/>
      <c r="AX36" s="708">
        <v>0</v>
      </c>
      <c r="AY36" s="708"/>
      <c r="AZ36" s="607">
        <f t="shared" ref="AZ36:BD39" si="61">+AL36-AT36</f>
        <v>0</v>
      </c>
      <c r="BA36" s="708"/>
      <c r="BB36" s="607">
        <f t="shared" si="61"/>
        <v>0</v>
      </c>
      <c r="BC36" s="708"/>
      <c r="BD36" s="607">
        <f t="shared" si="61"/>
        <v>0</v>
      </c>
      <c r="BE36" s="708"/>
      <c r="BF36" s="708">
        <f t="shared" si="58"/>
        <v>0</v>
      </c>
      <c r="BG36" s="708"/>
      <c r="BH36" s="708">
        <f>+BF36*$BH$9</f>
        <v>0</v>
      </c>
      <c r="BJ36" s="592">
        <f t="shared" si="54"/>
        <v>302</v>
      </c>
    </row>
    <row r="37" spans="1:62">
      <c r="A37" s="592">
        <f t="shared" si="55"/>
        <v>303</v>
      </c>
      <c r="B37" s="637" t="s">
        <v>1432</v>
      </c>
      <c r="D37" s="701" t="s">
        <v>1433</v>
      </c>
      <c r="F37" s="711" t="s">
        <v>1404</v>
      </c>
      <c r="H37" s="719"/>
      <c r="J37" s="719"/>
      <c r="K37" s="708"/>
      <c r="L37" s="719"/>
      <c r="M37" s="708"/>
      <c r="N37" s="719"/>
      <c r="O37" s="708"/>
      <c r="R37" s="702" t="s">
        <v>1405</v>
      </c>
      <c r="T37" s="708">
        <f t="shared" si="56"/>
        <v>0</v>
      </c>
      <c r="U37" s="708"/>
      <c r="V37" s="708">
        <v>0</v>
      </c>
      <c r="W37" s="708"/>
      <c r="X37" s="708">
        <v>0</v>
      </c>
      <c r="Y37" s="708"/>
      <c r="Z37" s="708">
        <f t="shared" si="59"/>
        <v>0</v>
      </c>
      <c r="AA37" s="708"/>
      <c r="AB37" s="708"/>
      <c r="AC37" s="708"/>
      <c r="AD37" s="719"/>
      <c r="AE37" s="708"/>
      <c r="AF37" s="719"/>
      <c r="AG37" s="708"/>
      <c r="AH37" s="708">
        <v>0</v>
      </c>
      <c r="AI37" s="708"/>
      <c r="AJ37" s="708"/>
      <c r="AK37" s="708"/>
      <c r="AL37" s="607">
        <f t="shared" si="60"/>
        <v>0</v>
      </c>
      <c r="AM37" s="708"/>
      <c r="AN37" s="607">
        <f t="shared" si="60"/>
        <v>0</v>
      </c>
      <c r="AO37" s="708"/>
      <c r="AP37" s="607">
        <f t="shared" si="60"/>
        <v>0</v>
      </c>
      <c r="AQ37" s="708"/>
      <c r="AR37" s="708">
        <f t="shared" si="57"/>
        <v>0</v>
      </c>
      <c r="AT37" s="719"/>
      <c r="AU37" s="708"/>
      <c r="AV37" s="719"/>
      <c r="AW37" s="708"/>
      <c r="AX37" s="708">
        <v>0</v>
      </c>
      <c r="AY37" s="708"/>
      <c r="AZ37" s="607">
        <f t="shared" si="61"/>
        <v>0</v>
      </c>
      <c r="BA37" s="708"/>
      <c r="BB37" s="607">
        <f t="shared" si="61"/>
        <v>0</v>
      </c>
      <c r="BC37" s="708"/>
      <c r="BD37" s="607">
        <f t="shared" si="61"/>
        <v>0</v>
      </c>
      <c r="BE37" s="708"/>
      <c r="BF37" s="708">
        <f t="shared" si="58"/>
        <v>0</v>
      </c>
      <c r="BG37" s="708"/>
      <c r="BH37" s="708">
        <f>+BF37*$BH$9</f>
        <v>0</v>
      </c>
      <c r="BJ37" s="592">
        <f t="shared" si="54"/>
        <v>303</v>
      </c>
    </row>
    <row r="38" spans="1:62">
      <c r="A38" s="592">
        <f t="shared" si="55"/>
        <v>304</v>
      </c>
      <c r="B38" s="726" t="s">
        <v>127</v>
      </c>
      <c r="H38" s="719"/>
      <c r="J38" s="719"/>
      <c r="K38" s="708"/>
      <c r="L38" s="719"/>
      <c r="M38" s="708"/>
      <c r="N38" s="719"/>
      <c r="O38" s="708"/>
      <c r="T38" s="708">
        <f t="shared" si="56"/>
        <v>0</v>
      </c>
      <c r="U38" s="708"/>
      <c r="V38" s="708">
        <v>0</v>
      </c>
      <c r="W38" s="708"/>
      <c r="X38" s="708">
        <v>0</v>
      </c>
      <c r="Y38" s="708"/>
      <c r="Z38" s="708">
        <f t="shared" si="59"/>
        <v>0</v>
      </c>
      <c r="AA38" s="708"/>
      <c r="AB38" s="708"/>
      <c r="AC38" s="708"/>
      <c r="AD38" s="719"/>
      <c r="AE38" s="708"/>
      <c r="AF38" s="719"/>
      <c r="AG38" s="708"/>
      <c r="AH38" s="708">
        <v>0</v>
      </c>
      <c r="AI38" s="708"/>
      <c r="AJ38" s="708"/>
      <c r="AK38" s="708"/>
      <c r="AL38" s="607">
        <f t="shared" si="60"/>
        <v>0</v>
      </c>
      <c r="AM38" s="708"/>
      <c r="AN38" s="607">
        <f t="shared" si="60"/>
        <v>0</v>
      </c>
      <c r="AO38" s="708"/>
      <c r="AP38" s="607">
        <f t="shared" si="60"/>
        <v>0</v>
      </c>
      <c r="AQ38" s="708"/>
      <c r="AR38" s="708">
        <f t="shared" si="57"/>
        <v>0</v>
      </c>
      <c r="AT38" s="719"/>
      <c r="AU38" s="708"/>
      <c r="AV38" s="719"/>
      <c r="AW38" s="708"/>
      <c r="AX38" s="708">
        <v>0</v>
      </c>
      <c r="AY38" s="708"/>
      <c r="AZ38" s="607">
        <f t="shared" si="61"/>
        <v>0</v>
      </c>
      <c r="BA38" s="708"/>
      <c r="BB38" s="607">
        <f t="shared" si="61"/>
        <v>0</v>
      </c>
      <c r="BC38" s="708"/>
      <c r="BD38" s="607">
        <f t="shared" si="61"/>
        <v>0</v>
      </c>
      <c r="BE38" s="708"/>
      <c r="BF38" s="708">
        <f t="shared" si="58"/>
        <v>0</v>
      </c>
      <c r="BG38" s="708"/>
      <c r="BH38" s="708">
        <f>+BF38*$BH$9</f>
        <v>0</v>
      </c>
      <c r="BJ38" s="592">
        <f t="shared" si="54"/>
        <v>304</v>
      </c>
    </row>
    <row r="39" spans="1:62">
      <c r="A39" s="592">
        <f>+A38+1</f>
        <v>305</v>
      </c>
      <c r="B39" s="726" t="s">
        <v>127</v>
      </c>
      <c r="H39" s="719"/>
      <c r="J39" s="719"/>
      <c r="K39" s="708"/>
      <c r="L39" s="719"/>
      <c r="M39" s="708"/>
      <c r="N39" s="719"/>
      <c r="O39" s="708"/>
      <c r="T39" s="708">
        <f t="shared" si="56"/>
        <v>0</v>
      </c>
      <c r="U39" s="708"/>
      <c r="V39" s="708">
        <v>0</v>
      </c>
      <c r="W39" s="708"/>
      <c r="X39" s="708">
        <v>0</v>
      </c>
      <c r="Y39" s="708"/>
      <c r="Z39" s="708">
        <f t="shared" si="59"/>
        <v>0</v>
      </c>
      <c r="AA39" s="708"/>
      <c r="AB39" s="708"/>
      <c r="AC39" s="708"/>
      <c r="AD39" s="719"/>
      <c r="AE39" s="708"/>
      <c r="AF39" s="719"/>
      <c r="AG39" s="708"/>
      <c r="AH39" s="708">
        <v>0</v>
      </c>
      <c r="AI39" s="708"/>
      <c r="AJ39" s="708"/>
      <c r="AK39" s="708"/>
      <c r="AL39" s="607">
        <f t="shared" si="60"/>
        <v>0</v>
      </c>
      <c r="AM39" s="708"/>
      <c r="AN39" s="607">
        <f t="shared" si="60"/>
        <v>0</v>
      </c>
      <c r="AO39" s="708"/>
      <c r="AP39" s="607">
        <f t="shared" si="60"/>
        <v>0</v>
      </c>
      <c r="AQ39" s="708"/>
      <c r="AR39" s="708">
        <f t="shared" si="57"/>
        <v>0</v>
      </c>
      <c r="AT39" s="719"/>
      <c r="AU39" s="708"/>
      <c r="AV39" s="719"/>
      <c r="AW39" s="708"/>
      <c r="AX39" s="708">
        <v>0</v>
      </c>
      <c r="AY39" s="708"/>
      <c r="AZ39" s="607">
        <f t="shared" si="61"/>
        <v>0</v>
      </c>
      <c r="BA39" s="708"/>
      <c r="BB39" s="607">
        <f t="shared" si="61"/>
        <v>0</v>
      </c>
      <c r="BC39" s="708"/>
      <c r="BD39" s="607">
        <f t="shared" si="61"/>
        <v>0</v>
      </c>
      <c r="BE39" s="708"/>
      <c r="BF39" s="708">
        <f t="shared" si="58"/>
        <v>0</v>
      </c>
      <c r="BG39" s="708"/>
      <c r="BH39" s="708">
        <f>+BF39*$BH$9</f>
        <v>0</v>
      </c>
      <c r="BJ39" s="592">
        <f t="shared" si="54"/>
        <v>305</v>
      </c>
    </row>
    <row r="40" spans="1:62">
      <c r="A40" s="592"/>
      <c r="B40" s="702"/>
      <c r="H40" s="708"/>
      <c r="J40" s="708"/>
      <c r="K40" s="708"/>
      <c r="L40" s="708"/>
      <c r="M40" s="708"/>
      <c r="N40" s="708"/>
      <c r="O40" s="708"/>
      <c r="T40" s="708"/>
      <c r="U40" s="708"/>
      <c r="V40" s="708"/>
      <c r="W40" s="708"/>
      <c r="X40" s="708"/>
      <c r="Y40" s="708"/>
      <c r="Z40" s="708"/>
      <c r="AA40" s="708"/>
      <c r="AB40" s="708"/>
      <c r="AC40" s="708"/>
      <c r="AD40" s="708"/>
      <c r="AE40" s="708"/>
      <c r="AF40" s="708"/>
      <c r="AG40" s="708"/>
      <c r="AH40" s="708"/>
      <c r="AI40" s="708"/>
      <c r="AJ40" s="708"/>
      <c r="AK40" s="708"/>
      <c r="AL40" s="708"/>
      <c r="AM40" s="708"/>
      <c r="AN40" s="708"/>
      <c r="AO40" s="708"/>
      <c r="AP40" s="708"/>
      <c r="AQ40" s="708"/>
      <c r="AR40" s="708"/>
      <c r="AT40" s="708"/>
      <c r="AU40" s="708"/>
      <c r="AV40" s="708"/>
      <c r="AW40" s="708"/>
      <c r="AX40" s="708"/>
      <c r="AY40" s="708"/>
      <c r="AZ40" s="708"/>
      <c r="BA40" s="708"/>
      <c r="BB40" s="708"/>
      <c r="BC40" s="708"/>
      <c r="BD40" s="708"/>
      <c r="BE40" s="708"/>
      <c r="BF40" s="708"/>
      <c r="BG40" s="708"/>
      <c r="BH40" s="708"/>
      <c r="BJ40" s="592"/>
    </row>
    <row r="41" spans="1:62">
      <c r="A41" s="324" t="s">
        <v>100</v>
      </c>
      <c r="T41" s="708"/>
      <c r="U41" s="708"/>
      <c r="V41" s="708"/>
      <c r="W41" s="708"/>
      <c r="X41" s="708"/>
      <c r="Y41" s="708"/>
      <c r="Z41" s="708"/>
      <c r="AA41" s="708"/>
      <c r="AB41" s="708"/>
      <c r="AC41" s="708"/>
      <c r="AE41" s="708"/>
      <c r="AG41" s="708"/>
      <c r="AI41" s="708"/>
      <c r="AJ41" s="708"/>
      <c r="AK41" s="708"/>
      <c r="AL41" s="708"/>
      <c r="AM41" s="708"/>
      <c r="AN41" s="708"/>
      <c r="AO41" s="708"/>
      <c r="AP41" s="708"/>
      <c r="AQ41" s="708"/>
      <c r="AR41" s="708"/>
      <c r="AU41" s="708"/>
      <c r="AW41" s="708"/>
      <c r="AY41" s="708"/>
      <c r="AZ41" s="708"/>
      <c r="BA41" s="708"/>
      <c r="BB41" s="708"/>
      <c r="BC41" s="708"/>
      <c r="BD41" s="708"/>
      <c r="BE41" s="708"/>
      <c r="BF41" s="708"/>
      <c r="BG41" s="708"/>
      <c r="BJ41" s="324" t="s">
        <v>100</v>
      </c>
    </row>
    <row r="42" spans="1:62">
      <c r="A42" s="592">
        <v>400</v>
      </c>
      <c r="B42" s="699" t="s">
        <v>1434</v>
      </c>
      <c r="H42" s="717">
        <f>ROUND(SUM(H43:H99),0)</f>
        <v>0</v>
      </c>
      <c r="J42" s="717">
        <f>ROUND(SUM(J43:J99),0)</f>
        <v>0</v>
      </c>
      <c r="K42" s="708"/>
      <c r="L42" s="717">
        <f>ROUND(SUM(L43:L99),0)</f>
        <v>0</v>
      </c>
      <c r="M42" s="708"/>
      <c r="N42" s="717">
        <f>ROUND(SUM(N43:N99),0)</f>
        <v>0</v>
      </c>
      <c r="O42" s="708"/>
      <c r="Q42" s="592"/>
      <c r="R42" s="592"/>
      <c r="S42" s="592"/>
      <c r="T42" s="717">
        <f>ROUND(SUM(T43:T99),0)</f>
        <v>0</v>
      </c>
      <c r="U42" s="708"/>
      <c r="V42" s="717">
        <f>ROUND(SUM(V43:V99),0)</f>
        <v>0</v>
      </c>
      <c r="W42" s="708"/>
      <c r="X42" s="717">
        <f>ROUND(SUM(X43:X99),0)</f>
        <v>0</v>
      </c>
      <c r="Y42" s="708"/>
      <c r="Z42" s="717">
        <f>ROUND(SUM(Z43:Z99),0)</f>
        <v>0</v>
      </c>
      <c r="AA42" s="708"/>
      <c r="AB42" s="708"/>
      <c r="AC42" s="708"/>
      <c r="AD42" s="717">
        <f>SUM(AD43:AD99)</f>
        <v>0</v>
      </c>
      <c r="AE42" s="708"/>
      <c r="AF42" s="717">
        <f>SUM(AF43:AF99)</f>
        <v>0</v>
      </c>
      <c r="AG42" s="708"/>
      <c r="AH42" s="717">
        <f>SUM(AH43:AH99)</f>
        <v>0</v>
      </c>
      <c r="AI42" s="708"/>
      <c r="AJ42" s="708"/>
      <c r="AK42" s="708"/>
      <c r="AL42" s="717">
        <f>SUM(AL43:AL99)</f>
        <v>0</v>
      </c>
      <c r="AM42" s="708"/>
      <c r="AN42" s="717">
        <f>SUM(AN43:AN99)</f>
        <v>0</v>
      </c>
      <c r="AO42" s="708"/>
      <c r="AP42" s="717">
        <f>SUM(AP43:AP99)</f>
        <v>0</v>
      </c>
      <c r="AQ42" s="708"/>
      <c r="AR42" s="717">
        <f>SUM(AR43:AR99)</f>
        <v>0</v>
      </c>
      <c r="AT42" s="717">
        <f>SUM(AT43:AT99)</f>
        <v>0</v>
      </c>
      <c r="AU42" s="708"/>
      <c r="AV42" s="717">
        <f>SUM(AV43:AV99)</f>
        <v>0</v>
      </c>
      <c r="AW42" s="708"/>
      <c r="AX42" s="717">
        <f>SUM(AX43:AX99)</f>
        <v>0</v>
      </c>
      <c r="AY42" s="708"/>
      <c r="AZ42" s="717">
        <f>SUM(AZ43:AZ99)</f>
        <v>0</v>
      </c>
      <c r="BA42" s="708"/>
      <c r="BB42" s="717">
        <f>SUM(BB43:BB99)</f>
        <v>0</v>
      </c>
      <c r="BC42" s="708"/>
      <c r="BD42" s="717">
        <f>SUM(BD43:BD99)</f>
        <v>0</v>
      </c>
      <c r="BE42" s="708"/>
      <c r="BF42" s="717">
        <f>SUM(BF43:BF99)</f>
        <v>0</v>
      </c>
      <c r="BG42" s="708"/>
      <c r="BH42" s="717">
        <f>ROUND(SUM(BH43:BH99),0)</f>
        <v>0</v>
      </c>
      <c r="BJ42" s="592">
        <f t="shared" ref="BJ42:BJ99" si="62">A42</f>
        <v>400</v>
      </c>
    </row>
    <row r="43" spans="1:62">
      <c r="A43" s="592">
        <f t="shared" ref="A43:A99" si="63">A42+1</f>
        <v>401</v>
      </c>
      <c r="B43" s="725" t="s">
        <v>1435</v>
      </c>
      <c r="F43" s="711" t="s">
        <v>1404</v>
      </c>
      <c r="H43" s="719"/>
      <c r="J43" s="719"/>
      <c r="K43" s="708"/>
      <c r="L43" s="719"/>
      <c r="M43" s="708"/>
      <c r="N43" s="719"/>
      <c r="O43" s="708"/>
      <c r="R43" s="709" t="s">
        <v>1405</v>
      </c>
      <c r="T43" s="708">
        <v>0</v>
      </c>
      <c r="U43" s="708"/>
      <c r="V43" s="708">
        <f>N43</f>
        <v>0</v>
      </c>
      <c r="W43" s="708"/>
      <c r="X43" s="708">
        <v>0</v>
      </c>
      <c r="Y43" s="708"/>
      <c r="Z43" s="708">
        <f>SUM(T43:X43)</f>
        <v>0</v>
      </c>
      <c r="AA43" s="708"/>
      <c r="AB43" s="609" t="s">
        <v>1406</v>
      </c>
      <c r="AC43" s="708"/>
      <c r="AD43" s="708">
        <v>0</v>
      </c>
      <c r="AE43" s="708"/>
      <c r="AF43" s="719"/>
      <c r="AG43" s="708"/>
      <c r="AH43" s="708">
        <v>0</v>
      </c>
      <c r="AI43" s="708"/>
      <c r="AJ43" s="609" t="s">
        <v>1407</v>
      </c>
      <c r="AK43" s="708"/>
      <c r="AL43" s="607">
        <f>+T43-AD43</f>
        <v>0</v>
      </c>
      <c r="AM43" s="708"/>
      <c r="AN43" s="607">
        <f>+V43-AF43</f>
        <v>0</v>
      </c>
      <c r="AO43" s="708"/>
      <c r="AP43" s="607">
        <f>+X43-AH43</f>
        <v>0</v>
      </c>
      <c r="AQ43" s="708"/>
      <c r="AR43" s="708">
        <f t="shared" ref="AR43:AR99" si="64">SUM(AL43:AP43)</f>
        <v>0</v>
      </c>
      <c r="AT43" s="708">
        <v>0</v>
      </c>
      <c r="AU43" s="708"/>
      <c r="AV43" s="719"/>
      <c r="AW43" s="708"/>
      <c r="AX43" s="708">
        <v>0</v>
      </c>
      <c r="AY43" s="708"/>
      <c r="AZ43" s="607">
        <f>+AL43-AT43</f>
        <v>0</v>
      </c>
      <c r="BA43" s="708"/>
      <c r="BB43" s="607">
        <f>+AN43-AV43</f>
        <v>0</v>
      </c>
      <c r="BC43" s="708"/>
      <c r="BD43" s="607">
        <f>+AP43-AX43</f>
        <v>0</v>
      </c>
      <c r="BE43" s="708"/>
      <c r="BF43" s="708">
        <f t="shared" ref="BF43:BF99" si="65">SUM(AZ43:BD43)</f>
        <v>0</v>
      </c>
      <c r="BG43" s="708"/>
      <c r="BH43" s="708">
        <f t="shared" ref="BH43:BH99" si="66">+BF43*$BH$9</f>
        <v>0</v>
      </c>
      <c r="BJ43" s="592">
        <f t="shared" si="62"/>
        <v>401</v>
      </c>
    </row>
    <row r="44" spans="1:62">
      <c r="A44" s="592">
        <f t="shared" si="63"/>
        <v>402</v>
      </c>
      <c r="B44" s="725" t="s">
        <v>1436</v>
      </c>
      <c r="F44" s="711" t="s">
        <v>1404</v>
      </c>
      <c r="H44" s="719"/>
      <c r="J44" s="719"/>
      <c r="K44" s="708"/>
      <c r="L44" s="719"/>
      <c r="M44" s="708"/>
      <c r="N44" s="719"/>
      <c r="O44" s="708"/>
      <c r="R44" s="709" t="s">
        <v>1405</v>
      </c>
      <c r="T44" s="708">
        <v>0</v>
      </c>
      <c r="U44" s="708"/>
      <c r="V44" s="708">
        <f t="shared" ref="V44:V99" si="67">N44</f>
        <v>0</v>
      </c>
      <c r="W44" s="708"/>
      <c r="X44" s="708">
        <v>0</v>
      </c>
      <c r="Y44" s="708"/>
      <c r="Z44" s="708">
        <f t="shared" ref="Z44:Z104" si="68">SUM(T44:X44)</f>
        <v>0</v>
      </c>
      <c r="AA44" s="708"/>
      <c r="AB44" s="609" t="s">
        <v>1406</v>
      </c>
      <c r="AC44" s="708"/>
      <c r="AD44" s="708">
        <v>0</v>
      </c>
      <c r="AE44" s="708"/>
      <c r="AF44" s="719"/>
      <c r="AG44" s="708"/>
      <c r="AH44" s="708">
        <v>0</v>
      </c>
      <c r="AI44" s="708"/>
      <c r="AJ44" s="609" t="s">
        <v>1407</v>
      </c>
      <c r="AK44" s="708"/>
      <c r="AL44" s="607">
        <f t="shared" ref="AL44:AP99" si="69">+T44-AD44</f>
        <v>0</v>
      </c>
      <c r="AM44" s="708"/>
      <c r="AN44" s="607">
        <f t="shared" si="69"/>
        <v>0</v>
      </c>
      <c r="AO44" s="708"/>
      <c r="AP44" s="607">
        <f t="shared" si="69"/>
        <v>0</v>
      </c>
      <c r="AQ44" s="708"/>
      <c r="AR44" s="708">
        <f t="shared" si="64"/>
        <v>0</v>
      </c>
      <c r="AT44" s="708">
        <v>0</v>
      </c>
      <c r="AU44" s="708"/>
      <c r="AV44" s="719"/>
      <c r="AW44" s="708"/>
      <c r="AX44" s="708">
        <v>0</v>
      </c>
      <c r="AY44" s="708"/>
      <c r="AZ44" s="607">
        <f t="shared" ref="AZ44:AZ99" si="70">+AL44-AT44</f>
        <v>0</v>
      </c>
      <c r="BA44" s="708"/>
      <c r="BB44" s="607">
        <f t="shared" ref="BB44:BB99" si="71">+AN44-AV44</f>
        <v>0</v>
      </c>
      <c r="BC44" s="708"/>
      <c r="BD44" s="607">
        <f t="shared" ref="BD44:BD99" si="72">+AP44-AX44</f>
        <v>0</v>
      </c>
      <c r="BE44" s="708"/>
      <c r="BF44" s="708">
        <f t="shared" si="65"/>
        <v>0</v>
      </c>
      <c r="BG44" s="708"/>
      <c r="BH44" s="708">
        <f t="shared" si="66"/>
        <v>0</v>
      </c>
      <c r="BJ44" s="592">
        <f t="shared" si="62"/>
        <v>402</v>
      </c>
    </row>
    <row r="45" spans="1:62">
      <c r="A45" s="592">
        <f t="shared" si="63"/>
        <v>403</v>
      </c>
      <c r="B45" s="725" t="s">
        <v>1437</v>
      </c>
      <c r="F45" s="711" t="s">
        <v>1404</v>
      </c>
      <c r="H45" s="719"/>
      <c r="J45" s="719"/>
      <c r="K45" s="708"/>
      <c r="L45" s="719"/>
      <c r="M45" s="708"/>
      <c r="N45" s="719"/>
      <c r="O45" s="708"/>
      <c r="R45" s="709" t="s">
        <v>1405</v>
      </c>
      <c r="T45" s="708">
        <v>0</v>
      </c>
      <c r="U45" s="708"/>
      <c r="V45" s="708">
        <f t="shared" si="67"/>
        <v>0</v>
      </c>
      <c r="W45" s="708"/>
      <c r="X45" s="708">
        <v>0</v>
      </c>
      <c r="Y45" s="708"/>
      <c r="Z45" s="708">
        <f t="shared" si="68"/>
        <v>0</v>
      </c>
      <c r="AA45" s="708"/>
      <c r="AB45" s="609" t="s">
        <v>1406</v>
      </c>
      <c r="AC45" s="708"/>
      <c r="AD45" s="708">
        <v>0</v>
      </c>
      <c r="AE45" s="708"/>
      <c r="AF45" s="719"/>
      <c r="AG45" s="708"/>
      <c r="AH45" s="708">
        <v>0</v>
      </c>
      <c r="AI45" s="708"/>
      <c r="AJ45" s="609" t="s">
        <v>1407</v>
      </c>
      <c r="AK45" s="708"/>
      <c r="AL45" s="607">
        <f t="shared" si="69"/>
        <v>0</v>
      </c>
      <c r="AM45" s="708"/>
      <c r="AN45" s="607">
        <f t="shared" si="69"/>
        <v>0</v>
      </c>
      <c r="AO45" s="708"/>
      <c r="AP45" s="607">
        <f t="shared" si="69"/>
        <v>0</v>
      </c>
      <c r="AQ45" s="708"/>
      <c r="AR45" s="708">
        <f t="shared" si="64"/>
        <v>0</v>
      </c>
      <c r="AT45" s="708">
        <v>0</v>
      </c>
      <c r="AU45" s="708"/>
      <c r="AV45" s="719"/>
      <c r="AW45" s="708"/>
      <c r="AX45" s="708">
        <v>0</v>
      </c>
      <c r="AY45" s="708"/>
      <c r="AZ45" s="607">
        <f t="shared" si="70"/>
        <v>0</v>
      </c>
      <c r="BA45" s="708"/>
      <c r="BB45" s="607">
        <f t="shared" si="71"/>
        <v>0</v>
      </c>
      <c r="BC45" s="708"/>
      <c r="BD45" s="607">
        <f t="shared" si="72"/>
        <v>0</v>
      </c>
      <c r="BE45" s="708"/>
      <c r="BF45" s="708">
        <f t="shared" si="65"/>
        <v>0</v>
      </c>
      <c r="BG45" s="708"/>
      <c r="BH45" s="708">
        <f t="shared" si="66"/>
        <v>0</v>
      </c>
      <c r="BJ45" s="592">
        <f t="shared" si="62"/>
        <v>403</v>
      </c>
    </row>
    <row r="46" spans="1:62">
      <c r="A46" s="592">
        <f t="shared" si="63"/>
        <v>404</v>
      </c>
      <c r="B46" s="725" t="s">
        <v>1438</v>
      </c>
      <c r="F46" s="711" t="s">
        <v>1404</v>
      </c>
      <c r="H46" s="719"/>
      <c r="J46" s="719"/>
      <c r="K46" s="708"/>
      <c r="L46" s="719"/>
      <c r="M46" s="708"/>
      <c r="N46" s="719"/>
      <c r="O46" s="708"/>
      <c r="R46" s="709" t="s">
        <v>1405</v>
      </c>
      <c r="T46" s="708">
        <v>0</v>
      </c>
      <c r="U46" s="708"/>
      <c r="V46" s="708">
        <f t="shared" si="67"/>
        <v>0</v>
      </c>
      <c r="W46" s="708"/>
      <c r="X46" s="708">
        <v>0</v>
      </c>
      <c r="Y46" s="708"/>
      <c r="Z46" s="708">
        <f t="shared" si="68"/>
        <v>0</v>
      </c>
      <c r="AA46" s="708"/>
      <c r="AB46" s="609" t="s">
        <v>1406</v>
      </c>
      <c r="AC46" s="708"/>
      <c r="AD46" s="708">
        <v>0</v>
      </c>
      <c r="AE46" s="708"/>
      <c r="AF46" s="719"/>
      <c r="AG46" s="708"/>
      <c r="AH46" s="708">
        <v>0</v>
      </c>
      <c r="AI46" s="708"/>
      <c r="AJ46" s="609" t="s">
        <v>1407</v>
      </c>
      <c r="AK46" s="708"/>
      <c r="AL46" s="607">
        <f t="shared" si="69"/>
        <v>0</v>
      </c>
      <c r="AM46" s="708"/>
      <c r="AN46" s="607">
        <f t="shared" si="69"/>
        <v>0</v>
      </c>
      <c r="AO46" s="708"/>
      <c r="AP46" s="607">
        <f t="shared" si="69"/>
        <v>0</v>
      </c>
      <c r="AQ46" s="708"/>
      <c r="AR46" s="708">
        <f t="shared" si="64"/>
        <v>0</v>
      </c>
      <c r="AT46" s="708">
        <v>0</v>
      </c>
      <c r="AU46" s="708"/>
      <c r="AV46" s="719"/>
      <c r="AW46" s="708"/>
      <c r="AX46" s="708">
        <v>0</v>
      </c>
      <c r="AY46" s="708"/>
      <c r="AZ46" s="607">
        <f t="shared" si="70"/>
        <v>0</v>
      </c>
      <c r="BA46" s="708"/>
      <c r="BB46" s="607">
        <f t="shared" si="71"/>
        <v>0</v>
      </c>
      <c r="BC46" s="708"/>
      <c r="BD46" s="607">
        <f t="shared" si="72"/>
        <v>0</v>
      </c>
      <c r="BE46" s="708"/>
      <c r="BF46" s="708">
        <f t="shared" si="65"/>
        <v>0</v>
      </c>
      <c r="BG46" s="708"/>
      <c r="BH46" s="708">
        <f t="shared" si="66"/>
        <v>0</v>
      </c>
      <c r="BJ46" s="592">
        <f t="shared" si="62"/>
        <v>404</v>
      </c>
    </row>
    <row r="47" spans="1:62">
      <c r="A47" s="592">
        <f t="shared" si="63"/>
        <v>405</v>
      </c>
      <c r="B47" s="725" t="s">
        <v>1439</v>
      </c>
      <c r="F47" s="711" t="s">
        <v>1404</v>
      </c>
      <c r="H47" s="719"/>
      <c r="J47" s="719"/>
      <c r="K47" s="708"/>
      <c r="L47" s="719"/>
      <c r="M47" s="708"/>
      <c r="N47" s="719"/>
      <c r="O47" s="708"/>
      <c r="R47" s="709" t="s">
        <v>1405</v>
      </c>
      <c r="T47" s="708">
        <v>0</v>
      </c>
      <c r="U47" s="708"/>
      <c r="V47" s="708">
        <f t="shared" si="67"/>
        <v>0</v>
      </c>
      <c r="W47" s="708"/>
      <c r="X47" s="708">
        <v>0</v>
      </c>
      <c r="Y47" s="708"/>
      <c r="Z47" s="708">
        <f t="shared" si="68"/>
        <v>0</v>
      </c>
      <c r="AA47" s="708"/>
      <c r="AB47" s="609" t="s">
        <v>1406</v>
      </c>
      <c r="AC47" s="708"/>
      <c r="AD47" s="708">
        <v>0</v>
      </c>
      <c r="AE47" s="708"/>
      <c r="AF47" s="719"/>
      <c r="AG47" s="708"/>
      <c r="AH47" s="708">
        <v>0</v>
      </c>
      <c r="AI47" s="708"/>
      <c r="AJ47" s="609" t="s">
        <v>1407</v>
      </c>
      <c r="AK47" s="708"/>
      <c r="AL47" s="607">
        <f t="shared" si="69"/>
        <v>0</v>
      </c>
      <c r="AM47" s="708"/>
      <c r="AN47" s="607">
        <f t="shared" si="69"/>
        <v>0</v>
      </c>
      <c r="AO47" s="708"/>
      <c r="AP47" s="607">
        <f t="shared" si="69"/>
        <v>0</v>
      </c>
      <c r="AQ47" s="708"/>
      <c r="AR47" s="708">
        <f t="shared" si="64"/>
        <v>0</v>
      </c>
      <c r="AT47" s="708">
        <v>0</v>
      </c>
      <c r="AU47" s="708"/>
      <c r="AV47" s="719"/>
      <c r="AW47" s="708"/>
      <c r="AX47" s="708">
        <v>0</v>
      </c>
      <c r="AY47" s="708"/>
      <c r="AZ47" s="607">
        <f t="shared" si="70"/>
        <v>0</v>
      </c>
      <c r="BA47" s="708"/>
      <c r="BB47" s="607">
        <f t="shared" si="71"/>
        <v>0</v>
      </c>
      <c r="BC47" s="708"/>
      <c r="BD47" s="607">
        <f t="shared" si="72"/>
        <v>0</v>
      </c>
      <c r="BE47" s="708"/>
      <c r="BF47" s="708">
        <f t="shared" si="65"/>
        <v>0</v>
      </c>
      <c r="BG47" s="708"/>
      <c r="BH47" s="708">
        <f t="shared" si="66"/>
        <v>0</v>
      </c>
      <c r="BJ47" s="592">
        <f t="shared" si="62"/>
        <v>405</v>
      </c>
    </row>
    <row r="48" spans="1:62">
      <c r="A48" s="592">
        <f t="shared" si="63"/>
        <v>406</v>
      </c>
      <c r="B48" s="725" t="s">
        <v>1440</v>
      </c>
      <c r="F48" s="711" t="s">
        <v>1404</v>
      </c>
      <c r="H48" s="719"/>
      <c r="J48" s="719"/>
      <c r="K48" s="708"/>
      <c r="L48" s="719"/>
      <c r="M48" s="708"/>
      <c r="N48" s="719"/>
      <c r="O48" s="708"/>
      <c r="R48" s="709" t="s">
        <v>1405</v>
      </c>
      <c r="T48" s="708">
        <v>0</v>
      </c>
      <c r="U48" s="708"/>
      <c r="V48" s="708">
        <f t="shared" si="67"/>
        <v>0</v>
      </c>
      <c r="W48" s="708"/>
      <c r="X48" s="708">
        <v>0</v>
      </c>
      <c r="Y48" s="708"/>
      <c r="Z48" s="708">
        <f t="shared" si="68"/>
        <v>0</v>
      </c>
      <c r="AA48" s="708"/>
      <c r="AB48" s="609" t="s">
        <v>1406</v>
      </c>
      <c r="AC48" s="708"/>
      <c r="AD48" s="708">
        <v>0</v>
      </c>
      <c r="AE48" s="708"/>
      <c r="AF48" s="719"/>
      <c r="AG48" s="708"/>
      <c r="AH48" s="708">
        <v>0</v>
      </c>
      <c r="AI48" s="708"/>
      <c r="AJ48" s="609" t="s">
        <v>1407</v>
      </c>
      <c r="AK48" s="708"/>
      <c r="AL48" s="607">
        <f t="shared" si="69"/>
        <v>0</v>
      </c>
      <c r="AM48" s="708"/>
      <c r="AN48" s="607">
        <f t="shared" si="69"/>
        <v>0</v>
      </c>
      <c r="AO48" s="708"/>
      <c r="AP48" s="607">
        <f t="shared" si="69"/>
        <v>0</v>
      </c>
      <c r="AQ48" s="708"/>
      <c r="AR48" s="708">
        <f t="shared" si="64"/>
        <v>0</v>
      </c>
      <c r="AT48" s="708">
        <v>0</v>
      </c>
      <c r="AU48" s="708"/>
      <c r="AV48" s="719"/>
      <c r="AW48" s="708"/>
      <c r="AX48" s="708">
        <v>0</v>
      </c>
      <c r="AY48" s="708"/>
      <c r="AZ48" s="607">
        <f t="shared" si="70"/>
        <v>0</v>
      </c>
      <c r="BA48" s="708"/>
      <c r="BB48" s="607">
        <f t="shared" si="71"/>
        <v>0</v>
      </c>
      <c r="BC48" s="708"/>
      <c r="BD48" s="607">
        <f t="shared" si="72"/>
        <v>0</v>
      </c>
      <c r="BE48" s="708"/>
      <c r="BF48" s="708">
        <f t="shared" si="65"/>
        <v>0</v>
      </c>
      <c r="BG48" s="708"/>
      <c r="BH48" s="708">
        <f t="shared" si="66"/>
        <v>0</v>
      </c>
      <c r="BJ48" s="592">
        <f t="shared" si="62"/>
        <v>406</v>
      </c>
    </row>
    <row r="49" spans="1:62">
      <c r="A49" s="592">
        <f t="shared" si="63"/>
        <v>407</v>
      </c>
      <c r="B49" s="725" t="s">
        <v>1441</v>
      </c>
      <c r="F49" s="711" t="s">
        <v>1404</v>
      </c>
      <c r="H49" s="719"/>
      <c r="J49" s="719"/>
      <c r="K49" s="708"/>
      <c r="L49" s="719"/>
      <c r="M49" s="708"/>
      <c r="N49" s="719"/>
      <c r="O49" s="708"/>
      <c r="R49" s="709" t="s">
        <v>1405</v>
      </c>
      <c r="T49" s="708">
        <v>0</v>
      </c>
      <c r="U49" s="708"/>
      <c r="V49" s="708">
        <f t="shared" si="67"/>
        <v>0</v>
      </c>
      <c r="W49" s="708"/>
      <c r="X49" s="708">
        <v>0</v>
      </c>
      <c r="Y49" s="708"/>
      <c r="Z49" s="708">
        <f t="shared" si="68"/>
        <v>0</v>
      </c>
      <c r="AA49" s="708"/>
      <c r="AB49" s="609" t="s">
        <v>1406</v>
      </c>
      <c r="AC49" s="708"/>
      <c r="AD49" s="708">
        <v>0</v>
      </c>
      <c r="AE49" s="708"/>
      <c r="AF49" s="719"/>
      <c r="AG49" s="708"/>
      <c r="AH49" s="708">
        <v>0</v>
      </c>
      <c r="AI49" s="708"/>
      <c r="AJ49" s="609" t="s">
        <v>1407</v>
      </c>
      <c r="AK49" s="708"/>
      <c r="AL49" s="607">
        <f t="shared" si="69"/>
        <v>0</v>
      </c>
      <c r="AM49" s="708"/>
      <c r="AN49" s="607">
        <f t="shared" si="69"/>
        <v>0</v>
      </c>
      <c r="AO49" s="708"/>
      <c r="AP49" s="607">
        <f t="shared" si="69"/>
        <v>0</v>
      </c>
      <c r="AQ49" s="708"/>
      <c r="AR49" s="708">
        <f t="shared" si="64"/>
        <v>0</v>
      </c>
      <c r="AT49" s="708">
        <v>0</v>
      </c>
      <c r="AU49" s="708"/>
      <c r="AV49" s="719"/>
      <c r="AW49" s="708"/>
      <c r="AX49" s="708">
        <v>0</v>
      </c>
      <c r="AY49" s="708"/>
      <c r="AZ49" s="607">
        <f t="shared" si="70"/>
        <v>0</v>
      </c>
      <c r="BA49" s="708"/>
      <c r="BB49" s="607">
        <f t="shared" si="71"/>
        <v>0</v>
      </c>
      <c r="BC49" s="708"/>
      <c r="BD49" s="607">
        <f t="shared" si="72"/>
        <v>0</v>
      </c>
      <c r="BE49" s="708"/>
      <c r="BF49" s="708">
        <f t="shared" si="65"/>
        <v>0</v>
      </c>
      <c r="BG49" s="708"/>
      <c r="BH49" s="708">
        <f t="shared" si="66"/>
        <v>0</v>
      </c>
      <c r="BJ49" s="592">
        <f t="shared" si="62"/>
        <v>407</v>
      </c>
    </row>
    <row r="50" spans="1:62">
      <c r="A50" s="592">
        <f t="shared" si="63"/>
        <v>408</v>
      </c>
      <c r="B50" s="725" t="s">
        <v>1442</v>
      </c>
      <c r="F50" s="711" t="s">
        <v>1404</v>
      </c>
      <c r="H50" s="719"/>
      <c r="J50" s="719"/>
      <c r="K50" s="708"/>
      <c r="L50" s="719"/>
      <c r="M50" s="708"/>
      <c r="N50" s="719"/>
      <c r="O50" s="708"/>
      <c r="R50" s="709" t="s">
        <v>1405</v>
      </c>
      <c r="T50" s="708">
        <v>0</v>
      </c>
      <c r="U50" s="708"/>
      <c r="V50" s="708">
        <f t="shared" si="67"/>
        <v>0</v>
      </c>
      <c r="W50" s="708"/>
      <c r="X50" s="708">
        <v>0</v>
      </c>
      <c r="Y50" s="708"/>
      <c r="Z50" s="708">
        <f t="shared" si="68"/>
        <v>0</v>
      </c>
      <c r="AA50" s="708"/>
      <c r="AB50" s="609" t="s">
        <v>1406</v>
      </c>
      <c r="AC50" s="708"/>
      <c r="AD50" s="708">
        <v>0</v>
      </c>
      <c r="AE50" s="708"/>
      <c r="AF50" s="719"/>
      <c r="AG50" s="708"/>
      <c r="AH50" s="708">
        <v>0</v>
      </c>
      <c r="AI50" s="708"/>
      <c r="AJ50" s="609" t="s">
        <v>1407</v>
      </c>
      <c r="AK50" s="708"/>
      <c r="AL50" s="607">
        <f t="shared" si="69"/>
        <v>0</v>
      </c>
      <c r="AM50" s="708"/>
      <c r="AN50" s="607">
        <f t="shared" si="69"/>
        <v>0</v>
      </c>
      <c r="AO50" s="708"/>
      <c r="AP50" s="607">
        <f t="shared" si="69"/>
        <v>0</v>
      </c>
      <c r="AQ50" s="708"/>
      <c r="AR50" s="708">
        <f t="shared" si="64"/>
        <v>0</v>
      </c>
      <c r="AT50" s="708">
        <v>0</v>
      </c>
      <c r="AU50" s="708"/>
      <c r="AV50" s="719"/>
      <c r="AW50" s="708"/>
      <c r="AX50" s="708">
        <v>0</v>
      </c>
      <c r="AY50" s="708"/>
      <c r="AZ50" s="607">
        <f t="shared" si="70"/>
        <v>0</v>
      </c>
      <c r="BA50" s="708"/>
      <c r="BB50" s="607">
        <f t="shared" si="71"/>
        <v>0</v>
      </c>
      <c r="BC50" s="708"/>
      <c r="BD50" s="607">
        <f t="shared" si="72"/>
        <v>0</v>
      </c>
      <c r="BE50" s="708"/>
      <c r="BF50" s="708">
        <f t="shared" si="65"/>
        <v>0</v>
      </c>
      <c r="BG50" s="708"/>
      <c r="BH50" s="708">
        <f t="shared" si="66"/>
        <v>0</v>
      </c>
      <c r="BJ50" s="592">
        <f t="shared" si="62"/>
        <v>408</v>
      </c>
    </row>
    <row r="51" spans="1:62">
      <c r="A51" s="592">
        <f t="shared" si="63"/>
        <v>409</v>
      </c>
      <c r="B51" s="725" t="s">
        <v>1443</v>
      </c>
      <c r="F51" s="711" t="s">
        <v>1404</v>
      </c>
      <c r="H51" s="719"/>
      <c r="J51" s="719"/>
      <c r="K51" s="708"/>
      <c r="L51" s="719"/>
      <c r="M51" s="708"/>
      <c r="N51" s="719"/>
      <c r="O51" s="708"/>
      <c r="R51" s="709" t="s">
        <v>1405</v>
      </c>
      <c r="T51" s="708">
        <v>0</v>
      </c>
      <c r="U51" s="708"/>
      <c r="V51" s="708">
        <f t="shared" si="67"/>
        <v>0</v>
      </c>
      <c r="W51" s="708"/>
      <c r="X51" s="708">
        <v>0</v>
      </c>
      <c r="Y51" s="708"/>
      <c r="Z51" s="708">
        <f t="shared" si="68"/>
        <v>0</v>
      </c>
      <c r="AA51" s="708"/>
      <c r="AB51" s="609" t="s">
        <v>1406</v>
      </c>
      <c r="AC51" s="708"/>
      <c r="AD51" s="708">
        <v>0</v>
      </c>
      <c r="AE51" s="708"/>
      <c r="AF51" s="719"/>
      <c r="AG51" s="708"/>
      <c r="AH51" s="708">
        <v>0</v>
      </c>
      <c r="AI51" s="708"/>
      <c r="AJ51" s="609" t="s">
        <v>1407</v>
      </c>
      <c r="AK51" s="708"/>
      <c r="AL51" s="607">
        <f t="shared" si="69"/>
        <v>0</v>
      </c>
      <c r="AM51" s="708"/>
      <c r="AN51" s="607">
        <f t="shared" si="69"/>
        <v>0</v>
      </c>
      <c r="AO51" s="708"/>
      <c r="AP51" s="607">
        <f t="shared" si="69"/>
        <v>0</v>
      </c>
      <c r="AQ51" s="708"/>
      <c r="AR51" s="708">
        <f t="shared" si="64"/>
        <v>0</v>
      </c>
      <c r="AT51" s="708">
        <v>0</v>
      </c>
      <c r="AU51" s="708"/>
      <c r="AV51" s="719"/>
      <c r="AW51" s="708"/>
      <c r="AX51" s="708">
        <v>0</v>
      </c>
      <c r="AY51" s="708"/>
      <c r="AZ51" s="607">
        <f t="shared" si="70"/>
        <v>0</v>
      </c>
      <c r="BA51" s="708"/>
      <c r="BB51" s="607">
        <f t="shared" si="71"/>
        <v>0</v>
      </c>
      <c r="BC51" s="708"/>
      <c r="BD51" s="607">
        <f t="shared" si="72"/>
        <v>0</v>
      </c>
      <c r="BE51" s="708"/>
      <c r="BF51" s="708">
        <f t="shared" si="65"/>
        <v>0</v>
      </c>
      <c r="BG51" s="708"/>
      <c r="BH51" s="708">
        <f t="shared" si="66"/>
        <v>0</v>
      </c>
      <c r="BJ51" s="592">
        <f t="shared" si="62"/>
        <v>409</v>
      </c>
    </row>
    <row r="52" spans="1:62">
      <c r="A52" s="592">
        <f t="shared" si="63"/>
        <v>410</v>
      </c>
      <c r="B52" s="725" t="s">
        <v>1444</v>
      </c>
      <c r="F52" s="711" t="s">
        <v>1404</v>
      </c>
      <c r="H52" s="719"/>
      <c r="J52" s="719"/>
      <c r="K52" s="708"/>
      <c r="L52" s="719"/>
      <c r="M52" s="708"/>
      <c r="N52" s="719"/>
      <c r="O52" s="708"/>
      <c r="R52" s="709" t="s">
        <v>1405</v>
      </c>
      <c r="T52" s="708">
        <v>0</v>
      </c>
      <c r="U52" s="708"/>
      <c r="V52" s="708">
        <f t="shared" si="67"/>
        <v>0</v>
      </c>
      <c r="W52" s="708"/>
      <c r="X52" s="708">
        <v>0</v>
      </c>
      <c r="Y52" s="708"/>
      <c r="Z52" s="708">
        <f t="shared" si="68"/>
        <v>0</v>
      </c>
      <c r="AA52" s="708"/>
      <c r="AB52" s="609" t="s">
        <v>1406</v>
      </c>
      <c r="AC52" s="708"/>
      <c r="AD52" s="708">
        <v>0</v>
      </c>
      <c r="AE52" s="708"/>
      <c r="AF52" s="719"/>
      <c r="AG52" s="708"/>
      <c r="AH52" s="708">
        <v>0</v>
      </c>
      <c r="AI52" s="708"/>
      <c r="AJ52" s="609" t="s">
        <v>1407</v>
      </c>
      <c r="AK52" s="708"/>
      <c r="AL52" s="607">
        <f t="shared" si="69"/>
        <v>0</v>
      </c>
      <c r="AM52" s="708"/>
      <c r="AN52" s="607">
        <f t="shared" si="69"/>
        <v>0</v>
      </c>
      <c r="AO52" s="708"/>
      <c r="AP52" s="607">
        <f t="shared" si="69"/>
        <v>0</v>
      </c>
      <c r="AQ52" s="708"/>
      <c r="AR52" s="708">
        <f t="shared" si="64"/>
        <v>0</v>
      </c>
      <c r="AT52" s="708">
        <v>0</v>
      </c>
      <c r="AU52" s="708"/>
      <c r="AV52" s="719"/>
      <c r="AW52" s="708"/>
      <c r="AX52" s="708">
        <v>0</v>
      </c>
      <c r="AY52" s="708"/>
      <c r="AZ52" s="607">
        <f t="shared" si="70"/>
        <v>0</v>
      </c>
      <c r="BA52" s="708"/>
      <c r="BB52" s="607">
        <f t="shared" si="71"/>
        <v>0</v>
      </c>
      <c r="BC52" s="708"/>
      <c r="BD52" s="607">
        <f t="shared" si="72"/>
        <v>0</v>
      </c>
      <c r="BE52" s="708"/>
      <c r="BF52" s="708">
        <f t="shared" si="65"/>
        <v>0</v>
      </c>
      <c r="BG52" s="708"/>
      <c r="BH52" s="708">
        <f t="shared" si="66"/>
        <v>0</v>
      </c>
      <c r="BJ52" s="592">
        <f t="shared" si="62"/>
        <v>410</v>
      </c>
    </row>
    <row r="53" spans="1:62">
      <c r="A53" s="592">
        <f t="shared" si="63"/>
        <v>411</v>
      </c>
      <c r="B53" s="725" t="s">
        <v>1445</v>
      </c>
      <c r="F53" s="711" t="s">
        <v>1404</v>
      </c>
      <c r="H53" s="719"/>
      <c r="J53" s="719"/>
      <c r="K53" s="708"/>
      <c r="L53" s="719"/>
      <c r="M53" s="708"/>
      <c r="N53" s="719"/>
      <c r="O53" s="708"/>
      <c r="R53" s="709" t="s">
        <v>1405</v>
      </c>
      <c r="T53" s="708">
        <v>0</v>
      </c>
      <c r="U53" s="708"/>
      <c r="V53" s="708">
        <f t="shared" si="67"/>
        <v>0</v>
      </c>
      <c r="W53" s="708"/>
      <c r="X53" s="708">
        <v>0</v>
      </c>
      <c r="Y53" s="708"/>
      <c r="Z53" s="708">
        <f t="shared" si="68"/>
        <v>0</v>
      </c>
      <c r="AA53" s="708"/>
      <c r="AB53" s="609" t="s">
        <v>1406</v>
      </c>
      <c r="AC53" s="708"/>
      <c r="AD53" s="708">
        <v>0</v>
      </c>
      <c r="AE53" s="708"/>
      <c r="AF53" s="719"/>
      <c r="AG53" s="708"/>
      <c r="AH53" s="708">
        <v>0</v>
      </c>
      <c r="AI53" s="708"/>
      <c r="AJ53" s="609" t="s">
        <v>1407</v>
      </c>
      <c r="AK53" s="708"/>
      <c r="AL53" s="607">
        <f t="shared" si="69"/>
        <v>0</v>
      </c>
      <c r="AM53" s="708"/>
      <c r="AN53" s="607">
        <f t="shared" si="69"/>
        <v>0</v>
      </c>
      <c r="AO53" s="708"/>
      <c r="AP53" s="607">
        <f t="shared" si="69"/>
        <v>0</v>
      </c>
      <c r="AQ53" s="708"/>
      <c r="AR53" s="708">
        <f t="shared" si="64"/>
        <v>0</v>
      </c>
      <c r="AT53" s="708">
        <v>0</v>
      </c>
      <c r="AU53" s="708"/>
      <c r="AV53" s="719"/>
      <c r="AW53" s="708"/>
      <c r="AX53" s="708">
        <v>0</v>
      </c>
      <c r="AY53" s="708"/>
      <c r="AZ53" s="607">
        <f t="shared" si="70"/>
        <v>0</v>
      </c>
      <c r="BA53" s="708"/>
      <c r="BB53" s="607">
        <f t="shared" si="71"/>
        <v>0</v>
      </c>
      <c r="BC53" s="708"/>
      <c r="BD53" s="607">
        <f t="shared" si="72"/>
        <v>0</v>
      </c>
      <c r="BE53" s="708"/>
      <c r="BF53" s="708">
        <f t="shared" si="65"/>
        <v>0</v>
      </c>
      <c r="BG53" s="708"/>
      <c r="BH53" s="708">
        <f t="shared" si="66"/>
        <v>0</v>
      </c>
      <c r="BJ53" s="592">
        <f t="shared" si="62"/>
        <v>411</v>
      </c>
    </row>
    <row r="54" spans="1:62">
      <c r="A54" s="592">
        <f t="shared" si="63"/>
        <v>412</v>
      </c>
      <c r="B54" s="725" t="s">
        <v>1446</v>
      </c>
      <c r="F54" s="711" t="s">
        <v>1404</v>
      </c>
      <c r="H54" s="719"/>
      <c r="J54" s="719"/>
      <c r="K54" s="708"/>
      <c r="L54" s="719"/>
      <c r="M54" s="708"/>
      <c r="N54" s="719"/>
      <c r="O54" s="708"/>
      <c r="R54" s="709" t="s">
        <v>1405</v>
      </c>
      <c r="T54" s="708">
        <v>0</v>
      </c>
      <c r="U54" s="708"/>
      <c r="V54" s="708">
        <f t="shared" si="67"/>
        <v>0</v>
      </c>
      <c r="W54" s="708"/>
      <c r="X54" s="708">
        <v>0</v>
      </c>
      <c r="Y54" s="708"/>
      <c r="Z54" s="708">
        <f t="shared" si="68"/>
        <v>0</v>
      </c>
      <c r="AA54" s="708"/>
      <c r="AB54" s="609" t="s">
        <v>1406</v>
      </c>
      <c r="AC54" s="708"/>
      <c r="AD54" s="708">
        <v>0</v>
      </c>
      <c r="AE54" s="708"/>
      <c r="AF54" s="719"/>
      <c r="AG54" s="708"/>
      <c r="AH54" s="708">
        <v>0</v>
      </c>
      <c r="AI54" s="708"/>
      <c r="AJ54" s="609" t="s">
        <v>1407</v>
      </c>
      <c r="AK54" s="708"/>
      <c r="AL54" s="607">
        <f t="shared" si="69"/>
        <v>0</v>
      </c>
      <c r="AM54" s="708"/>
      <c r="AN54" s="607">
        <f t="shared" si="69"/>
        <v>0</v>
      </c>
      <c r="AO54" s="708"/>
      <c r="AP54" s="607">
        <f t="shared" si="69"/>
        <v>0</v>
      </c>
      <c r="AQ54" s="708"/>
      <c r="AR54" s="708">
        <f t="shared" si="64"/>
        <v>0</v>
      </c>
      <c r="AT54" s="708">
        <v>0</v>
      </c>
      <c r="AU54" s="708"/>
      <c r="AV54" s="719"/>
      <c r="AW54" s="708"/>
      <c r="AX54" s="708">
        <v>0</v>
      </c>
      <c r="AY54" s="708"/>
      <c r="AZ54" s="607">
        <f t="shared" si="70"/>
        <v>0</v>
      </c>
      <c r="BA54" s="708"/>
      <c r="BB54" s="607">
        <f t="shared" si="71"/>
        <v>0</v>
      </c>
      <c r="BC54" s="708"/>
      <c r="BD54" s="607">
        <f t="shared" si="72"/>
        <v>0</v>
      </c>
      <c r="BE54" s="708"/>
      <c r="BF54" s="708">
        <f t="shared" si="65"/>
        <v>0</v>
      </c>
      <c r="BG54" s="708"/>
      <c r="BH54" s="708">
        <f t="shared" si="66"/>
        <v>0</v>
      </c>
      <c r="BJ54" s="592">
        <f t="shared" si="62"/>
        <v>412</v>
      </c>
    </row>
    <row r="55" spans="1:62">
      <c r="A55" s="592">
        <f t="shared" si="63"/>
        <v>413</v>
      </c>
      <c r="B55" s="725" t="s">
        <v>1447</v>
      </c>
      <c r="F55" s="711" t="s">
        <v>1404</v>
      </c>
      <c r="H55" s="719"/>
      <c r="J55" s="719"/>
      <c r="K55" s="708"/>
      <c r="L55" s="719"/>
      <c r="M55" s="708"/>
      <c r="N55" s="719"/>
      <c r="O55" s="708"/>
      <c r="R55" s="709" t="s">
        <v>1405</v>
      </c>
      <c r="T55" s="708">
        <v>0</v>
      </c>
      <c r="U55" s="708"/>
      <c r="V55" s="708">
        <f t="shared" si="67"/>
        <v>0</v>
      </c>
      <c r="W55" s="708"/>
      <c r="X55" s="708">
        <v>0</v>
      </c>
      <c r="Y55" s="708"/>
      <c r="Z55" s="708">
        <f t="shared" si="68"/>
        <v>0</v>
      </c>
      <c r="AA55" s="708"/>
      <c r="AB55" s="609" t="s">
        <v>1406</v>
      </c>
      <c r="AC55" s="708"/>
      <c r="AD55" s="708">
        <v>0</v>
      </c>
      <c r="AE55" s="708"/>
      <c r="AF55" s="719"/>
      <c r="AG55" s="708"/>
      <c r="AH55" s="708">
        <v>0</v>
      </c>
      <c r="AI55" s="708"/>
      <c r="AJ55" s="609" t="s">
        <v>1407</v>
      </c>
      <c r="AK55" s="708"/>
      <c r="AL55" s="607">
        <f t="shared" si="69"/>
        <v>0</v>
      </c>
      <c r="AM55" s="708"/>
      <c r="AN55" s="607">
        <f t="shared" si="69"/>
        <v>0</v>
      </c>
      <c r="AO55" s="708"/>
      <c r="AP55" s="607">
        <f t="shared" si="69"/>
        <v>0</v>
      </c>
      <c r="AQ55" s="708"/>
      <c r="AR55" s="708">
        <f t="shared" si="64"/>
        <v>0</v>
      </c>
      <c r="AT55" s="708">
        <v>0</v>
      </c>
      <c r="AU55" s="708"/>
      <c r="AV55" s="719"/>
      <c r="AW55" s="708"/>
      <c r="AX55" s="708">
        <v>0</v>
      </c>
      <c r="AY55" s="708"/>
      <c r="AZ55" s="607">
        <f t="shared" si="70"/>
        <v>0</v>
      </c>
      <c r="BA55" s="708"/>
      <c r="BB55" s="607">
        <f t="shared" si="71"/>
        <v>0</v>
      </c>
      <c r="BC55" s="708"/>
      <c r="BD55" s="607">
        <f t="shared" si="72"/>
        <v>0</v>
      </c>
      <c r="BE55" s="708"/>
      <c r="BF55" s="708">
        <f t="shared" si="65"/>
        <v>0</v>
      </c>
      <c r="BG55" s="708"/>
      <c r="BH55" s="708">
        <f t="shared" si="66"/>
        <v>0</v>
      </c>
      <c r="BJ55" s="592">
        <f t="shared" si="62"/>
        <v>413</v>
      </c>
    </row>
    <row r="56" spans="1:62">
      <c r="A56" s="592">
        <f t="shared" si="63"/>
        <v>414</v>
      </c>
      <c r="B56" s="725" t="s">
        <v>1448</v>
      </c>
      <c r="F56" s="711" t="s">
        <v>1404</v>
      </c>
      <c r="H56" s="719"/>
      <c r="J56" s="719"/>
      <c r="K56" s="708"/>
      <c r="L56" s="719"/>
      <c r="M56" s="708"/>
      <c r="N56" s="719"/>
      <c r="O56" s="708"/>
      <c r="R56" s="709" t="s">
        <v>1405</v>
      </c>
      <c r="T56" s="708">
        <v>0</v>
      </c>
      <c r="U56" s="708"/>
      <c r="V56" s="708">
        <f t="shared" si="67"/>
        <v>0</v>
      </c>
      <c r="W56" s="708"/>
      <c r="X56" s="708">
        <v>0</v>
      </c>
      <c r="Y56" s="708"/>
      <c r="Z56" s="708">
        <f t="shared" si="68"/>
        <v>0</v>
      </c>
      <c r="AA56" s="708"/>
      <c r="AB56" s="609" t="s">
        <v>1406</v>
      </c>
      <c r="AC56" s="708"/>
      <c r="AD56" s="708">
        <v>0</v>
      </c>
      <c r="AE56" s="708"/>
      <c r="AF56" s="719"/>
      <c r="AG56" s="708"/>
      <c r="AH56" s="708">
        <v>0</v>
      </c>
      <c r="AI56" s="708"/>
      <c r="AJ56" s="609" t="s">
        <v>1407</v>
      </c>
      <c r="AK56" s="708"/>
      <c r="AL56" s="607">
        <f t="shared" si="69"/>
        <v>0</v>
      </c>
      <c r="AM56" s="708"/>
      <c r="AN56" s="607">
        <f t="shared" si="69"/>
        <v>0</v>
      </c>
      <c r="AO56" s="708"/>
      <c r="AP56" s="607">
        <f t="shared" si="69"/>
        <v>0</v>
      </c>
      <c r="AQ56" s="708"/>
      <c r="AR56" s="708">
        <f t="shared" si="64"/>
        <v>0</v>
      </c>
      <c r="AT56" s="708">
        <v>0</v>
      </c>
      <c r="AU56" s="708"/>
      <c r="AV56" s="719"/>
      <c r="AW56" s="708"/>
      <c r="AX56" s="708">
        <v>0</v>
      </c>
      <c r="AY56" s="708"/>
      <c r="AZ56" s="607">
        <f t="shared" si="70"/>
        <v>0</v>
      </c>
      <c r="BA56" s="708"/>
      <c r="BB56" s="607">
        <f t="shared" si="71"/>
        <v>0</v>
      </c>
      <c r="BC56" s="708"/>
      <c r="BD56" s="607">
        <f t="shared" si="72"/>
        <v>0</v>
      </c>
      <c r="BE56" s="708"/>
      <c r="BF56" s="708">
        <f t="shared" si="65"/>
        <v>0</v>
      </c>
      <c r="BG56" s="708"/>
      <c r="BH56" s="708">
        <f t="shared" si="66"/>
        <v>0</v>
      </c>
      <c r="BJ56" s="592">
        <f t="shared" si="62"/>
        <v>414</v>
      </c>
    </row>
    <row r="57" spans="1:62">
      <c r="A57" s="592">
        <f t="shared" si="63"/>
        <v>415</v>
      </c>
      <c r="B57" s="725" t="s">
        <v>1449</v>
      </c>
      <c r="F57" s="711" t="s">
        <v>1404</v>
      </c>
      <c r="H57" s="719"/>
      <c r="J57" s="719"/>
      <c r="K57" s="708"/>
      <c r="L57" s="719"/>
      <c r="M57" s="708"/>
      <c r="N57" s="719"/>
      <c r="O57" s="708"/>
      <c r="R57" s="709" t="s">
        <v>1405</v>
      </c>
      <c r="T57" s="708">
        <v>0</v>
      </c>
      <c r="U57" s="708"/>
      <c r="V57" s="708">
        <f t="shared" si="67"/>
        <v>0</v>
      </c>
      <c r="W57" s="708"/>
      <c r="X57" s="708">
        <v>0</v>
      </c>
      <c r="Y57" s="708"/>
      <c r="Z57" s="708">
        <f t="shared" si="68"/>
        <v>0</v>
      </c>
      <c r="AA57" s="708"/>
      <c r="AB57" s="609" t="s">
        <v>1406</v>
      </c>
      <c r="AC57" s="708"/>
      <c r="AD57" s="708">
        <v>0</v>
      </c>
      <c r="AE57" s="708"/>
      <c r="AF57" s="719"/>
      <c r="AG57" s="708"/>
      <c r="AH57" s="708">
        <v>0</v>
      </c>
      <c r="AI57" s="708"/>
      <c r="AJ57" s="609" t="s">
        <v>1407</v>
      </c>
      <c r="AK57" s="708"/>
      <c r="AL57" s="607">
        <f t="shared" si="69"/>
        <v>0</v>
      </c>
      <c r="AM57" s="708"/>
      <c r="AN57" s="607">
        <f t="shared" si="69"/>
        <v>0</v>
      </c>
      <c r="AO57" s="708"/>
      <c r="AP57" s="607">
        <f t="shared" si="69"/>
        <v>0</v>
      </c>
      <c r="AQ57" s="708"/>
      <c r="AR57" s="708">
        <f t="shared" si="64"/>
        <v>0</v>
      </c>
      <c r="AT57" s="708">
        <v>0</v>
      </c>
      <c r="AU57" s="708"/>
      <c r="AV57" s="719"/>
      <c r="AW57" s="708"/>
      <c r="AX57" s="708">
        <v>0</v>
      </c>
      <c r="AY57" s="708"/>
      <c r="AZ57" s="607">
        <f t="shared" si="70"/>
        <v>0</v>
      </c>
      <c r="BA57" s="708"/>
      <c r="BB57" s="607">
        <f t="shared" si="71"/>
        <v>0</v>
      </c>
      <c r="BC57" s="708"/>
      <c r="BD57" s="607">
        <f t="shared" si="72"/>
        <v>0</v>
      </c>
      <c r="BE57" s="708"/>
      <c r="BF57" s="708">
        <f t="shared" si="65"/>
        <v>0</v>
      </c>
      <c r="BG57" s="708"/>
      <c r="BH57" s="708">
        <f t="shared" si="66"/>
        <v>0</v>
      </c>
      <c r="BJ57" s="592">
        <f t="shared" si="62"/>
        <v>415</v>
      </c>
    </row>
    <row r="58" spans="1:62">
      <c r="A58" s="592">
        <f t="shared" si="63"/>
        <v>416</v>
      </c>
      <c r="B58" s="725" t="s">
        <v>1450</v>
      </c>
      <c r="F58" s="711" t="s">
        <v>1404</v>
      </c>
      <c r="H58" s="719"/>
      <c r="J58" s="719"/>
      <c r="K58" s="708"/>
      <c r="L58" s="719"/>
      <c r="M58" s="708"/>
      <c r="N58" s="719"/>
      <c r="O58" s="708"/>
      <c r="R58" s="709" t="s">
        <v>1405</v>
      </c>
      <c r="T58" s="708">
        <v>0</v>
      </c>
      <c r="U58" s="708"/>
      <c r="V58" s="708">
        <f t="shared" si="67"/>
        <v>0</v>
      </c>
      <c r="W58" s="708"/>
      <c r="X58" s="708">
        <v>0</v>
      </c>
      <c r="Y58" s="708"/>
      <c r="Z58" s="708">
        <f t="shared" si="68"/>
        <v>0</v>
      </c>
      <c r="AA58" s="708"/>
      <c r="AB58" s="609" t="s">
        <v>1406</v>
      </c>
      <c r="AC58" s="708"/>
      <c r="AD58" s="708">
        <v>0</v>
      </c>
      <c r="AE58" s="708"/>
      <c r="AF58" s="719"/>
      <c r="AG58" s="708"/>
      <c r="AH58" s="708">
        <v>0</v>
      </c>
      <c r="AI58" s="708"/>
      <c r="AJ58" s="609" t="s">
        <v>1407</v>
      </c>
      <c r="AK58" s="708"/>
      <c r="AL58" s="607">
        <f t="shared" si="69"/>
        <v>0</v>
      </c>
      <c r="AM58" s="708"/>
      <c r="AN58" s="607">
        <f t="shared" si="69"/>
        <v>0</v>
      </c>
      <c r="AO58" s="708"/>
      <c r="AP58" s="607">
        <f t="shared" si="69"/>
        <v>0</v>
      </c>
      <c r="AQ58" s="708"/>
      <c r="AR58" s="708">
        <f t="shared" si="64"/>
        <v>0</v>
      </c>
      <c r="AT58" s="708">
        <v>0</v>
      </c>
      <c r="AU58" s="708"/>
      <c r="AV58" s="719"/>
      <c r="AW58" s="708"/>
      <c r="AX58" s="708">
        <v>0</v>
      </c>
      <c r="AY58" s="708"/>
      <c r="AZ58" s="607">
        <f t="shared" si="70"/>
        <v>0</v>
      </c>
      <c r="BA58" s="708"/>
      <c r="BB58" s="607">
        <f t="shared" si="71"/>
        <v>0</v>
      </c>
      <c r="BC58" s="708"/>
      <c r="BD58" s="607">
        <f t="shared" si="72"/>
        <v>0</v>
      </c>
      <c r="BE58" s="708"/>
      <c r="BF58" s="708">
        <f t="shared" si="65"/>
        <v>0</v>
      </c>
      <c r="BG58" s="708"/>
      <c r="BH58" s="708">
        <f t="shared" si="66"/>
        <v>0</v>
      </c>
      <c r="BJ58" s="592">
        <f t="shared" si="62"/>
        <v>416</v>
      </c>
    </row>
    <row r="59" spans="1:62">
      <c r="A59" s="592">
        <f t="shared" si="63"/>
        <v>417</v>
      </c>
      <c r="B59" s="725" t="s">
        <v>1451</v>
      </c>
      <c r="F59" s="711" t="s">
        <v>1404</v>
      </c>
      <c r="H59" s="719"/>
      <c r="J59" s="719"/>
      <c r="K59" s="708"/>
      <c r="L59" s="719"/>
      <c r="M59" s="708"/>
      <c r="N59" s="719"/>
      <c r="O59" s="708"/>
      <c r="R59" s="709" t="s">
        <v>1405</v>
      </c>
      <c r="T59" s="708">
        <v>0</v>
      </c>
      <c r="U59" s="708"/>
      <c r="V59" s="708">
        <f t="shared" si="67"/>
        <v>0</v>
      </c>
      <c r="W59" s="708"/>
      <c r="X59" s="708">
        <v>0</v>
      </c>
      <c r="Y59" s="708"/>
      <c r="Z59" s="708">
        <f t="shared" si="68"/>
        <v>0</v>
      </c>
      <c r="AA59" s="708"/>
      <c r="AB59" s="609" t="s">
        <v>1406</v>
      </c>
      <c r="AC59" s="708"/>
      <c r="AD59" s="708">
        <v>0</v>
      </c>
      <c r="AE59" s="708"/>
      <c r="AF59" s="719"/>
      <c r="AG59" s="708"/>
      <c r="AH59" s="708">
        <v>0</v>
      </c>
      <c r="AI59" s="708"/>
      <c r="AJ59" s="609" t="s">
        <v>1407</v>
      </c>
      <c r="AK59" s="708"/>
      <c r="AL59" s="607">
        <f t="shared" si="69"/>
        <v>0</v>
      </c>
      <c r="AM59" s="708"/>
      <c r="AN59" s="607">
        <f t="shared" si="69"/>
        <v>0</v>
      </c>
      <c r="AO59" s="708"/>
      <c r="AP59" s="607">
        <f t="shared" si="69"/>
        <v>0</v>
      </c>
      <c r="AQ59" s="708"/>
      <c r="AR59" s="708">
        <f t="shared" si="64"/>
        <v>0</v>
      </c>
      <c r="AT59" s="708">
        <v>0</v>
      </c>
      <c r="AU59" s="708"/>
      <c r="AV59" s="719"/>
      <c r="AW59" s="708"/>
      <c r="AX59" s="708">
        <v>0</v>
      </c>
      <c r="AY59" s="708"/>
      <c r="AZ59" s="607">
        <f t="shared" si="70"/>
        <v>0</v>
      </c>
      <c r="BA59" s="708"/>
      <c r="BB59" s="607">
        <f t="shared" si="71"/>
        <v>0</v>
      </c>
      <c r="BC59" s="708"/>
      <c r="BD59" s="607">
        <f t="shared" si="72"/>
        <v>0</v>
      </c>
      <c r="BE59" s="708"/>
      <c r="BF59" s="708">
        <f t="shared" si="65"/>
        <v>0</v>
      </c>
      <c r="BG59" s="708"/>
      <c r="BH59" s="708">
        <f t="shared" si="66"/>
        <v>0</v>
      </c>
      <c r="BJ59" s="592">
        <f t="shared" si="62"/>
        <v>417</v>
      </c>
    </row>
    <row r="60" spans="1:62">
      <c r="A60" s="592">
        <f t="shared" si="63"/>
        <v>418</v>
      </c>
      <c r="B60" s="725" t="s">
        <v>1452</v>
      </c>
      <c r="F60" s="711" t="s">
        <v>1404</v>
      </c>
      <c r="H60" s="719"/>
      <c r="J60" s="719"/>
      <c r="K60" s="708"/>
      <c r="L60" s="719"/>
      <c r="M60" s="708"/>
      <c r="N60" s="719"/>
      <c r="O60" s="708"/>
      <c r="R60" s="709" t="s">
        <v>1405</v>
      </c>
      <c r="T60" s="708">
        <v>0</v>
      </c>
      <c r="U60" s="708"/>
      <c r="V60" s="708">
        <f t="shared" si="67"/>
        <v>0</v>
      </c>
      <c r="W60" s="708"/>
      <c r="X60" s="708">
        <v>0</v>
      </c>
      <c r="Y60" s="708"/>
      <c r="Z60" s="708">
        <f t="shared" si="68"/>
        <v>0</v>
      </c>
      <c r="AA60" s="708"/>
      <c r="AB60" s="609" t="s">
        <v>1406</v>
      </c>
      <c r="AC60" s="708"/>
      <c r="AD60" s="708">
        <v>0</v>
      </c>
      <c r="AE60" s="708"/>
      <c r="AF60" s="719"/>
      <c r="AG60" s="708"/>
      <c r="AH60" s="708">
        <v>0</v>
      </c>
      <c r="AI60" s="708"/>
      <c r="AJ60" s="609" t="s">
        <v>1407</v>
      </c>
      <c r="AK60" s="708"/>
      <c r="AL60" s="607">
        <f t="shared" si="69"/>
        <v>0</v>
      </c>
      <c r="AM60" s="708"/>
      <c r="AN60" s="607">
        <f t="shared" si="69"/>
        <v>0</v>
      </c>
      <c r="AO60" s="708"/>
      <c r="AP60" s="607">
        <f t="shared" si="69"/>
        <v>0</v>
      </c>
      <c r="AQ60" s="708"/>
      <c r="AR60" s="708">
        <f t="shared" si="64"/>
        <v>0</v>
      </c>
      <c r="AT60" s="708">
        <v>0</v>
      </c>
      <c r="AU60" s="708"/>
      <c r="AV60" s="719"/>
      <c r="AW60" s="708"/>
      <c r="AX60" s="708">
        <v>0</v>
      </c>
      <c r="AY60" s="708"/>
      <c r="AZ60" s="607">
        <f t="shared" si="70"/>
        <v>0</v>
      </c>
      <c r="BA60" s="708"/>
      <c r="BB60" s="607">
        <f t="shared" si="71"/>
        <v>0</v>
      </c>
      <c r="BC60" s="708"/>
      <c r="BD60" s="607">
        <f t="shared" si="72"/>
        <v>0</v>
      </c>
      <c r="BE60" s="708"/>
      <c r="BF60" s="708">
        <f t="shared" si="65"/>
        <v>0</v>
      </c>
      <c r="BG60" s="708"/>
      <c r="BH60" s="708">
        <f t="shared" si="66"/>
        <v>0</v>
      </c>
      <c r="BJ60" s="592">
        <f t="shared" si="62"/>
        <v>418</v>
      </c>
    </row>
    <row r="61" spans="1:62">
      <c r="A61" s="592">
        <f t="shared" si="63"/>
        <v>419</v>
      </c>
      <c r="B61" s="725" t="s">
        <v>1453</v>
      </c>
      <c r="F61" s="711" t="s">
        <v>1404</v>
      </c>
      <c r="H61" s="719"/>
      <c r="J61" s="719"/>
      <c r="K61" s="708"/>
      <c r="L61" s="719"/>
      <c r="M61" s="708"/>
      <c r="N61" s="719"/>
      <c r="O61" s="708"/>
      <c r="R61" s="709" t="s">
        <v>1405</v>
      </c>
      <c r="T61" s="708">
        <v>0</v>
      </c>
      <c r="U61" s="708"/>
      <c r="V61" s="708">
        <f t="shared" si="67"/>
        <v>0</v>
      </c>
      <c r="W61" s="708"/>
      <c r="X61" s="708">
        <v>0</v>
      </c>
      <c r="Y61" s="708"/>
      <c r="Z61" s="708">
        <f t="shared" si="68"/>
        <v>0</v>
      </c>
      <c r="AA61" s="708"/>
      <c r="AB61" s="609" t="s">
        <v>1406</v>
      </c>
      <c r="AC61" s="708"/>
      <c r="AD61" s="708">
        <v>0</v>
      </c>
      <c r="AE61" s="708"/>
      <c r="AF61" s="719"/>
      <c r="AG61" s="708"/>
      <c r="AH61" s="708">
        <v>0</v>
      </c>
      <c r="AI61" s="708"/>
      <c r="AJ61" s="609" t="s">
        <v>1407</v>
      </c>
      <c r="AK61" s="708"/>
      <c r="AL61" s="607">
        <f t="shared" si="69"/>
        <v>0</v>
      </c>
      <c r="AM61" s="708"/>
      <c r="AN61" s="607">
        <f t="shared" si="69"/>
        <v>0</v>
      </c>
      <c r="AO61" s="708"/>
      <c r="AP61" s="607">
        <f t="shared" si="69"/>
        <v>0</v>
      </c>
      <c r="AQ61" s="708"/>
      <c r="AR61" s="708">
        <f t="shared" si="64"/>
        <v>0</v>
      </c>
      <c r="AT61" s="708">
        <v>0</v>
      </c>
      <c r="AU61" s="708"/>
      <c r="AV61" s="719"/>
      <c r="AW61" s="708"/>
      <c r="AX61" s="708">
        <v>0</v>
      </c>
      <c r="AY61" s="708"/>
      <c r="AZ61" s="607">
        <f t="shared" si="70"/>
        <v>0</v>
      </c>
      <c r="BA61" s="708"/>
      <c r="BB61" s="607">
        <f t="shared" si="71"/>
        <v>0</v>
      </c>
      <c r="BC61" s="708"/>
      <c r="BD61" s="607">
        <f t="shared" si="72"/>
        <v>0</v>
      </c>
      <c r="BE61" s="708"/>
      <c r="BF61" s="708">
        <f t="shared" si="65"/>
        <v>0</v>
      </c>
      <c r="BG61" s="708"/>
      <c r="BH61" s="708">
        <f t="shared" si="66"/>
        <v>0</v>
      </c>
      <c r="BJ61" s="592">
        <f t="shared" si="62"/>
        <v>419</v>
      </c>
    </row>
    <row r="62" spans="1:62">
      <c r="A62" s="592">
        <f t="shared" si="63"/>
        <v>420</v>
      </c>
      <c r="B62" s="725" t="s">
        <v>1454</v>
      </c>
      <c r="F62" s="711" t="s">
        <v>1404</v>
      </c>
      <c r="H62" s="719"/>
      <c r="J62" s="719"/>
      <c r="K62" s="708"/>
      <c r="L62" s="719"/>
      <c r="M62" s="708"/>
      <c r="N62" s="719"/>
      <c r="O62" s="708"/>
      <c r="R62" s="709" t="s">
        <v>1405</v>
      </c>
      <c r="T62" s="708">
        <v>0</v>
      </c>
      <c r="U62" s="708"/>
      <c r="V62" s="708">
        <f t="shared" si="67"/>
        <v>0</v>
      </c>
      <c r="W62" s="708"/>
      <c r="X62" s="708">
        <v>0</v>
      </c>
      <c r="Y62" s="708"/>
      <c r="Z62" s="708">
        <f t="shared" si="68"/>
        <v>0</v>
      </c>
      <c r="AA62" s="708"/>
      <c r="AB62" s="609" t="s">
        <v>1406</v>
      </c>
      <c r="AC62" s="708"/>
      <c r="AD62" s="708">
        <v>0</v>
      </c>
      <c r="AE62" s="708"/>
      <c r="AF62" s="719"/>
      <c r="AG62" s="708"/>
      <c r="AH62" s="708">
        <v>0</v>
      </c>
      <c r="AI62" s="708"/>
      <c r="AJ62" s="609" t="s">
        <v>1407</v>
      </c>
      <c r="AK62" s="708"/>
      <c r="AL62" s="607">
        <f t="shared" si="69"/>
        <v>0</v>
      </c>
      <c r="AM62" s="708"/>
      <c r="AN62" s="607">
        <f t="shared" si="69"/>
        <v>0</v>
      </c>
      <c r="AO62" s="708"/>
      <c r="AP62" s="607">
        <f t="shared" si="69"/>
        <v>0</v>
      </c>
      <c r="AQ62" s="708"/>
      <c r="AR62" s="708">
        <f t="shared" si="64"/>
        <v>0</v>
      </c>
      <c r="AT62" s="708">
        <v>0</v>
      </c>
      <c r="AU62" s="708"/>
      <c r="AV62" s="719"/>
      <c r="AW62" s="708"/>
      <c r="AX62" s="708">
        <v>0</v>
      </c>
      <c r="AY62" s="708"/>
      <c r="AZ62" s="607">
        <f t="shared" si="70"/>
        <v>0</v>
      </c>
      <c r="BA62" s="708"/>
      <c r="BB62" s="607">
        <f t="shared" si="71"/>
        <v>0</v>
      </c>
      <c r="BC62" s="708"/>
      <c r="BD62" s="607">
        <f t="shared" si="72"/>
        <v>0</v>
      </c>
      <c r="BE62" s="708"/>
      <c r="BF62" s="708">
        <f t="shared" si="65"/>
        <v>0</v>
      </c>
      <c r="BG62" s="708"/>
      <c r="BH62" s="708">
        <f t="shared" si="66"/>
        <v>0</v>
      </c>
      <c r="BJ62" s="592">
        <f t="shared" si="62"/>
        <v>420</v>
      </c>
    </row>
    <row r="63" spans="1:62">
      <c r="A63" s="592">
        <f t="shared" si="63"/>
        <v>421</v>
      </c>
      <c r="B63" s="725" t="s">
        <v>1455</v>
      </c>
      <c r="F63" s="711" t="s">
        <v>1404</v>
      </c>
      <c r="H63" s="719"/>
      <c r="J63" s="719"/>
      <c r="K63" s="708"/>
      <c r="L63" s="719"/>
      <c r="M63" s="708"/>
      <c r="N63" s="719"/>
      <c r="O63" s="708"/>
      <c r="R63" s="709" t="s">
        <v>1405</v>
      </c>
      <c r="T63" s="708">
        <v>0</v>
      </c>
      <c r="U63" s="708"/>
      <c r="V63" s="708">
        <f t="shared" si="67"/>
        <v>0</v>
      </c>
      <c r="W63" s="708"/>
      <c r="X63" s="708">
        <v>0</v>
      </c>
      <c r="Y63" s="708"/>
      <c r="Z63" s="708">
        <f t="shared" si="68"/>
        <v>0</v>
      </c>
      <c r="AA63" s="708"/>
      <c r="AB63" s="609" t="s">
        <v>1406</v>
      </c>
      <c r="AC63" s="708"/>
      <c r="AD63" s="708">
        <v>0</v>
      </c>
      <c r="AE63" s="708"/>
      <c r="AF63" s="719"/>
      <c r="AG63" s="708"/>
      <c r="AH63" s="708">
        <v>0</v>
      </c>
      <c r="AI63" s="708"/>
      <c r="AJ63" s="609" t="s">
        <v>1407</v>
      </c>
      <c r="AK63" s="708"/>
      <c r="AL63" s="607">
        <f t="shared" si="69"/>
        <v>0</v>
      </c>
      <c r="AM63" s="708"/>
      <c r="AN63" s="607">
        <f t="shared" si="69"/>
        <v>0</v>
      </c>
      <c r="AO63" s="708"/>
      <c r="AP63" s="607">
        <f t="shared" si="69"/>
        <v>0</v>
      </c>
      <c r="AQ63" s="708"/>
      <c r="AR63" s="708">
        <f t="shared" si="64"/>
        <v>0</v>
      </c>
      <c r="AT63" s="708">
        <v>0</v>
      </c>
      <c r="AU63" s="708"/>
      <c r="AV63" s="719"/>
      <c r="AW63" s="708"/>
      <c r="AX63" s="708">
        <v>0</v>
      </c>
      <c r="AY63" s="708"/>
      <c r="AZ63" s="607">
        <f t="shared" si="70"/>
        <v>0</v>
      </c>
      <c r="BA63" s="708"/>
      <c r="BB63" s="607">
        <f t="shared" si="71"/>
        <v>0</v>
      </c>
      <c r="BC63" s="708"/>
      <c r="BD63" s="607">
        <f t="shared" si="72"/>
        <v>0</v>
      </c>
      <c r="BE63" s="708"/>
      <c r="BF63" s="708">
        <f t="shared" si="65"/>
        <v>0</v>
      </c>
      <c r="BG63" s="708"/>
      <c r="BH63" s="708">
        <f t="shared" si="66"/>
        <v>0</v>
      </c>
      <c r="BJ63" s="592">
        <f t="shared" si="62"/>
        <v>421</v>
      </c>
    </row>
    <row r="64" spans="1:62">
      <c r="A64" s="592">
        <f t="shared" si="63"/>
        <v>422</v>
      </c>
      <c r="B64" s="725" t="s">
        <v>1456</v>
      </c>
      <c r="F64" s="711" t="s">
        <v>1404</v>
      </c>
      <c r="H64" s="719"/>
      <c r="J64" s="719"/>
      <c r="K64" s="708"/>
      <c r="L64" s="719"/>
      <c r="M64" s="708"/>
      <c r="N64" s="719"/>
      <c r="O64" s="708"/>
      <c r="R64" s="709" t="s">
        <v>1405</v>
      </c>
      <c r="T64" s="708">
        <v>0</v>
      </c>
      <c r="U64" s="708"/>
      <c r="V64" s="708">
        <f t="shared" si="67"/>
        <v>0</v>
      </c>
      <c r="W64" s="708"/>
      <c r="X64" s="708">
        <v>0</v>
      </c>
      <c r="Y64" s="708"/>
      <c r="Z64" s="708">
        <f t="shared" si="68"/>
        <v>0</v>
      </c>
      <c r="AA64" s="708"/>
      <c r="AB64" s="609" t="s">
        <v>1406</v>
      </c>
      <c r="AC64" s="708"/>
      <c r="AD64" s="708">
        <v>0</v>
      </c>
      <c r="AE64" s="708"/>
      <c r="AF64" s="719"/>
      <c r="AG64" s="708"/>
      <c r="AH64" s="708">
        <v>0</v>
      </c>
      <c r="AI64" s="708"/>
      <c r="AJ64" s="609" t="s">
        <v>1407</v>
      </c>
      <c r="AK64" s="708"/>
      <c r="AL64" s="607">
        <f t="shared" si="69"/>
        <v>0</v>
      </c>
      <c r="AM64" s="708"/>
      <c r="AN64" s="607">
        <f t="shared" si="69"/>
        <v>0</v>
      </c>
      <c r="AO64" s="708"/>
      <c r="AP64" s="607">
        <f t="shared" si="69"/>
        <v>0</v>
      </c>
      <c r="AQ64" s="708"/>
      <c r="AR64" s="708">
        <f t="shared" si="64"/>
        <v>0</v>
      </c>
      <c r="AT64" s="708">
        <v>0</v>
      </c>
      <c r="AU64" s="708"/>
      <c r="AV64" s="719"/>
      <c r="AW64" s="708"/>
      <c r="AX64" s="708">
        <v>0</v>
      </c>
      <c r="AY64" s="708"/>
      <c r="AZ64" s="607">
        <f t="shared" si="70"/>
        <v>0</v>
      </c>
      <c r="BA64" s="708"/>
      <c r="BB64" s="607">
        <f t="shared" si="71"/>
        <v>0</v>
      </c>
      <c r="BC64" s="708"/>
      <c r="BD64" s="607">
        <f t="shared" si="72"/>
        <v>0</v>
      </c>
      <c r="BE64" s="708"/>
      <c r="BF64" s="708">
        <f t="shared" si="65"/>
        <v>0</v>
      </c>
      <c r="BG64" s="708"/>
      <c r="BH64" s="708">
        <f t="shared" si="66"/>
        <v>0</v>
      </c>
      <c r="BJ64" s="592">
        <f t="shared" si="62"/>
        <v>422</v>
      </c>
    </row>
    <row r="65" spans="1:62">
      <c r="A65" s="592">
        <f t="shared" si="63"/>
        <v>423</v>
      </c>
      <c r="B65" s="725" t="s">
        <v>1457</v>
      </c>
      <c r="F65" s="711" t="s">
        <v>1404</v>
      </c>
      <c r="H65" s="719"/>
      <c r="J65" s="719"/>
      <c r="K65" s="708"/>
      <c r="L65" s="719"/>
      <c r="M65" s="708"/>
      <c r="N65" s="719"/>
      <c r="O65" s="708"/>
      <c r="R65" s="709" t="s">
        <v>1405</v>
      </c>
      <c r="T65" s="708">
        <v>0</v>
      </c>
      <c r="U65" s="708"/>
      <c r="V65" s="708">
        <f t="shared" si="67"/>
        <v>0</v>
      </c>
      <c r="W65" s="708"/>
      <c r="X65" s="708">
        <v>0</v>
      </c>
      <c r="Y65" s="708"/>
      <c r="Z65" s="708">
        <f t="shared" si="68"/>
        <v>0</v>
      </c>
      <c r="AA65" s="708"/>
      <c r="AB65" s="609" t="s">
        <v>1406</v>
      </c>
      <c r="AC65" s="708"/>
      <c r="AD65" s="708">
        <v>0</v>
      </c>
      <c r="AE65" s="708"/>
      <c r="AF65" s="719"/>
      <c r="AG65" s="708"/>
      <c r="AH65" s="708">
        <v>0</v>
      </c>
      <c r="AI65" s="708"/>
      <c r="AJ65" s="609" t="s">
        <v>1407</v>
      </c>
      <c r="AK65" s="708"/>
      <c r="AL65" s="607">
        <f t="shared" si="69"/>
        <v>0</v>
      </c>
      <c r="AM65" s="708"/>
      <c r="AN65" s="607">
        <f t="shared" si="69"/>
        <v>0</v>
      </c>
      <c r="AO65" s="708"/>
      <c r="AP65" s="607">
        <f t="shared" si="69"/>
        <v>0</v>
      </c>
      <c r="AQ65" s="708"/>
      <c r="AR65" s="708">
        <f t="shared" si="64"/>
        <v>0</v>
      </c>
      <c r="AT65" s="708">
        <v>0</v>
      </c>
      <c r="AU65" s="708"/>
      <c r="AV65" s="719"/>
      <c r="AW65" s="708"/>
      <c r="AX65" s="708">
        <v>0</v>
      </c>
      <c r="AY65" s="708"/>
      <c r="AZ65" s="607">
        <f t="shared" si="70"/>
        <v>0</v>
      </c>
      <c r="BA65" s="708"/>
      <c r="BB65" s="607">
        <f t="shared" si="71"/>
        <v>0</v>
      </c>
      <c r="BC65" s="708"/>
      <c r="BD65" s="607">
        <f t="shared" si="72"/>
        <v>0</v>
      </c>
      <c r="BE65" s="708"/>
      <c r="BF65" s="708">
        <f t="shared" si="65"/>
        <v>0</v>
      </c>
      <c r="BG65" s="708"/>
      <c r="BH65" s="708">
        <f t="shared" si="66"/>
        <v>0</v>
      </c>
      <c r="BJ65" s="592">
        <f t="shared" si="62"/>
        <v>423</v>
      </c>
    </row>
    <row r="66" spans="1:62">
      <c r="A66" s="592">
        <f t="shared" si="63"/>
        <v>424</v>
      </c>
      <c r="B66" s="725" t="s">
        <v>1458</v>
      </c>
      <c r="F66" s="711" t="s">
        <v>1404</v>
      </c>
      <c r="H66" s="719"/>
      <c r="J66" s="719"/>
      <c r="K66" s="708"/>
      <c r="L66" s="719"/>
      <c r="M66" s="708"/>
      <c r="N66" s="719"/>
      <c r="O66" s="708"/>
      <c r="R66" s="709" t="s">
        <v>1405</v>
      </c>
      <c r="T66" s="708">
        <v>0</v>
      </c>
      <c r="U66" s="708"/>
      <c r="V66" s="708">
        <f t="shared" si="67"/>
        <v>0</v>
      </c>
      <c r="W66" s="708"/>
      <c r="X66" s="708">
        <v>0</v>
      </c>
      <c r="Y66" s="708"/>
      <c r="Z66" s="708">
        <f t="shared" si="68"/>
        <v>0</v>
      </c>
      <c r="AA66" s="708"/>
      <c r="AB66" s="609" t="s">
        <v>1406</v>
      </c>
      <c r="AC66" s="708"/>
      <c r="AD66" s="708">
        <v>0</v>
      </c>
      <c r="AE66" s="708"/>
      <c r="AF66" s="719"/>
      <c r="AG66" s="708"/>
      <c r="AH66" s="708">
        <v>0</v>
      </c>
      <c r="AI66" s="708"/>
      <c r="AJ66" s="609" t="s">
        <v>1407</v>
      </c>
      <c r="AK66" s="708"/>
      <c r="AL66" s="607">
        <f t="shared" si="69"/>
        <v>0</v>
      </c>
      <c r="AM66" s="708"/>
      <c r="AN66" s="607">
        <f t="shared" si="69"/>
        <v>0</v>
      </c>
      <c r="AO66" s="708"/>
      <c r="AP66" s="607">
        <f t="shared" si="69"/>
        <v>0</v>
      </c>
      <c r="AQ66" s="708"/>
      <c r="AR66" s="708">
        <f t="shared" si="64"/>
        <v>0</v>
      </c>
      <c r="AT66" s="708">
        <v>0</v>
      </c>
      <c r="AU66" s="708"/>
      <c r="AV66" s="719"/>
      <c r="AW66" s="708"/>
      <c r="AX66" s="708">
        <v>0</v>
      </c>
      <c r="AY66" s="708"/>
      <c r="AZ66" s="607">
        <f t="shared" si="70"/>
        <v>0</v>
      </c>
      <c r="BA66" s="708"/>
      <c r="BB66" s="607">
        <f t="shared" si="71"/>
        <v>0</v>
      </c>
      <c r="BC66" s="708"/>
      <c r="BD66" s="607">
        <f t="shared" si="72"/>
        <v>0</v>
      </c>
      <c r="BE66" s="708"/>
      <c r="BF66" s="708">
        <f t="shared" si="65"/>
        <v>0</v>
      </c>
      <c r="BG66" s="708"/>
      <c r="BH66" s="708">
        <f t="shared" si="66"/>
        <v>0</v>
      </c>
      <c r="BJ66" s="592">
        <f t="shared" si="62"/>
        <v>424</v>
      </c>
    </row>
    <row r="67" spans="1:62">
      <c r="A67" s="592">
        <f t="shared" si="63"/>
        <v>425</v>
      </c>
      <c r="B67" s="725" t="s">
        <v>1459</v>
      </c>
      <c r="F67" s="711" t="s">
        <v>1404</v>
      </c>
      <c r="H67" s="719"/>
      <c r="J67" s="719"/>
      <c r="K67" s="708"/>
      <c r="L67" s="719"/>
      <c r="M67" s="708"/>
      <c r="N67" s="719"/>
      <c r="O67" s="708"/>
      <c r="R67" s="709" t="s">
        <v>1405</v>
      </c>
      <c r="T67" s="708">
        <v>0</v>
      </c>
      <c r="U67" s="708"/>
      <c r="V67" s="708">
        <f t="shared" si="67"/>
        <v>0</v>
      </c>
      <c r="W67" s="708"/>
      <c r="X67" s="708">
        <v>0</v>
      </c>
      <c r="Y67" s="708"/>
      <c r="Z67" s="708">
        <f t="shared" si="68"/>
        <v>0</v>
      </c>
      <c r="AA67" s="708"/>
      <c r="AB67" s="609" t="s">
        <v>1406</v>
      </c>
      <c r="AC67" s="708"/>
      <c r="AD67" s="708">
        <v>0</v>
      </c>
      <c r="AE67" s="708"/>
      <c r="AF67" s="719"/>
      <c r="AG67" s="708"/>
      <c r="AH67" s="708">
        <v>0</v>
      </c>
      <c r="AI67" s="708"/>
      <c r="AJ67" s="609" t="s">
        <v>1407</v>
      </c>
      <c r="AK67" s="708"/>
      <c r="AL67" s="607">
        <f t="shared" si="69"/>
        <v>0</v>
      </c>
      <c r="AM67" s="708"/>
      <c r="AN67" s="607">
        <f t="shared" si="69"/>
        <v>0</v>
      </c>
      <c r="AO67" s="708"/>
      <c r="AP67" s="607">
        <f t="shared" si="69"/>
        <v>0</v>
      </c>
      <c r="AQ67" s="708"/>
      <c r="AR67" s="708">
        <f t="shared" si="64"/>
        <v>0</v>
      </c>
      <c r="AT67" s="708">
        <v>0</v>
      </c>
      <c r="AU67" s="708"/>
      <c r="AV67" s="719"/>
      <c r="AW67" s="708"/>
      <c r="AX67" s="708">
        <v>0</v>
      </c>
      <c r="AY67" s="708"/>
      <c r="AZ67" s="607">
        <f t="shared" si="70"/>
        <v>0</v>
      </c>
      <c r="BA67" s="708"/>
      <c r="BB67" s="607">
        <f t="shared" si="71"/>
        <v>0</v>
      </c>
      <c r="BC67" s="708"/>
      <c r="BD67" s="607">
        <f t="shared" si="72"/>
        <v>0</v>
      </c>
      <c r="BE67" s="708"/>
      <c r="BF67" s="708">
        <f t="shared" si="65"/>
        <v>0</v>
      </c>
      <c r="BG67" s="708"/>
      <c r="BH67" s="708">
        <f t="shared" si="66"/>
        <v>0</v>
      </c>
      <c r="BJ67" s="592">
        <f t="shared" si="62"/>
        <v>425</v>
      </c>
    </row>
    <row r="68" spans="1:62">
      <c r="A68" s="592">
        <f t="shared" si="63"/>
        <v>426</v>
      </c>
      <c r="B68" s="725" t="s">
        <v>1460</v>
      </c>
      <c r="F68" s="711" t="s">
        <v>1404</v>
      </c>
      <c r="H68" s="719"/>
      <c r="J68" s="719"/>
      <c r="K68" s="708"/>
      <c r="L68" s="719"/>
      <c r="M68" s="708"/>
      <c r="N68" s="719"/>
      <c r="O68" s="708"/>
      <c r="R68" s="709" t="s">
        <v>1405</v>
      </c>
      <c r="T68" s="708">
        <v>0</v>
      </c>
      <c r="U68" s="708"/>
      <c r="V68" s="708">
        <f t="shared" si="67"/>
        <v>0</v>
      </c>
      <c r="W68" s="708"/>
      <c r="X68" s="708">
        <v>0</v>
      </c>
      <c r="Y68" s="708"/>
      <c r="Z68" s="708">
        <f t="shared" si="68"/>
        <v>0</v>
      </c>
      <c r="AA68" s="708"/>
      <c r="AB68" s="609" t="s">
        <v>1406</v>
      </c>
      <c r="AC68" s="708"/>
      <c r="AD68" s="708">
        <v>0</v>
      </c>
      <c r="AE68" s="708"/>
      <c r="AF68" s="719"/>
      <c r="AG68" s="708"/>
      <c r="AH68" s="708">
        <v>0</v>
      </c>
      <c r="AI68" s="708"/>
      <c r="AJ68" s="609" t="s">
        <v>1407</v>
      </c>
      <c r="AK68" s="708"/>
      <c r="AL68" s="607">
        <f t="shared" si="69"/>
        <v>0</v>
      </c>
      <c r="AM68" s="708"/>
      <c r="AN68" s="607">
        <f t="shared" si="69"/>
        <v>0</v>
      </c>
      <c r="AO68" s="708"/>
      <c r="AP68" s="607">
        <f t="shared" si="69"/>
        <v>0</v>
      </c>
      <c r="AQ68" s="708"/>
      <c r="AR68" s="708">
        <f t="shared" si="64"/>
        <v>0</v>
      </c>
      <c r="AT68" s="708">
        <v>0</v>
      </c>
      <c r="AU68" s="708"/>
      <c r="AV68" s="719"/>
      <c r="AW68" s="708"/>
      <c r="AX68" s="708">
        <v>0</v>
      </c>
      <c r="AY68" s="708"/>
      <c r="AZ68" s="607">
        <f t="shared" si="70"/>
        <v>0</v>
      </c>
      <c r="BA68" s="708"/>
      <c r="BB68" s="607">
        <f t="shared" si="71"/>
        <v>0</v>
      </c>
      <c r="BC68" s="708"/>
      <c r="BD68" s="607">
        <f t="shared" si="72"/>
        <v>0</v>
      </c>
      <c r="BE68" s="708"/>
      <c r="BF68" s="708">
        <f t="shared" si="65"/>
        <v>0</v>
      </c>
      <c r="BG68" s="708"/>
      <c r="BH68" s="708">
        <f t="shared" si="66"/>
        <v>0</v>
      </c>
      <c r="BJ68" s="592">
        <f t="shared" si="62"/>
        <v>426</v>
      </c>
    </row>
    <row r="69" spans="1:62">
      <c r="A69" s="592">
        <f t="shared" si="63"/>
        <v>427</v>
      </c>
      <c r="B69" s="725" t="s">
        <v>1461</v>
      </c>
      <c r="F69" s="711" t="s">
        <v>1404</v>
      </c>
      <c r="H69" s="719"/>
      <c r="J69" s="719"/>
      <c r="K69" s="708"/>
      <c r="L69" s="719"/>
      <c r="M69" s="708"/>
      <c r="N69" s="719"/>
      <c r="O69" s="708"/>
      <c r="R69" s="709" t="s">
        <v>1405</v>
      </c>
      <c r="T69" s="708">
        <v>0</v>
      </c>
      <c r="U69" s="708"/>
      <c r="V69" s="708">
        <f t="shared" si="67"/>
        <v>0</v>
      </c>
      <c r="W69" s="708"/>
      <c r="X69" s="708">
        <v>0</v>
      </c>
      <c r="Y69" s="708"/>
      <c r="Z69" s="708">
        <f t="shared" si="68"/>
        <v>0</v>
      </c>
      <c r="AA69" s="708"/>
      <c r="AB69" s="609" t="s">
        <v>1406</v>
      </c>
      <c r="AC69" s="708"/>
      <c r="AD69" s="708">
        <v>0</v>
      </c>
      <c r="AE69" s="708"/>
      <c r="AF69" s="719"/>
      <c r="AG69" s="708"/>
      <c r="AH69" s="708">
        <v>0</v>
      </c>
      <c r="AI69" s="708"/>
      <c r="AJ69" s="609" t="s">
        <v>1407</v>
      </c>
      <c r="AK69" s="708"/>
      <c r="AL69" s="607">
        <f t="shared" si="69"/>
        <v>0</v>
      </c>
      <c r="AM69" s="708"/>
      <c r="AN69" s="607">
        <f t="shared" si="69"/>
        <v>0</v>
      </c>
      <c r="AO69" s="708"/>
      <c r="AP69" s="607">
        <f t="shared" si="69"/>
        <v>0</v>
      </c>
      <c r="AQ69" s="708"/>
      <c r="AR69" s="708">
        <f t="shared" si="64"/>
        <v>0</v>
      </c>
      <c r="AT69" s="708">
        <v>0</v>
      </c>
      <c r="AU69" s="708"/>
      <c r="AV69" s="719"/>
      <c r="AW69" s="708"/>
      <c r="AX69" s="708">
        <v>0</v>
      </c>
      <c r="AY69" s="708"/>
      <c r="AZ69" s="607">
        <f t="shared" si="70"/>
        <v>0</v>
      </c>
      <c r="BA69" s="708"/>
      <c r="BB69" s="607">
        <f t="shared" si="71"/>
        <v>0</v>
      </c>
      <c r="BC69" s="708"/>
      <c r="BD69" s="607">
        <f t="shared" si="72"/>
        <v>0</v>
      </c>
      <c r="BE69" s="708"/>
      <c r="BF69" s="708">
        <f t="shared" si="65"/>
        <v>0</v>
      </c>
      <c r="BG69" s="708"/>
      <c r="BH69" s="708">
        <f t="shared" si="66"/>
        <v>0</v>
      </c>
      <c r="BJ69" s="592">
        <f t="shared" si="62"/>
        <v>427</v>
      </c>
    </row>
    <row r="70" spans="1:62">
      <c r="A70" s="592">
        <f t="shared" si="63"/>
        <v>428</v>
      </c>
      <c r="B70" s="725" t="s">
        <v>1462</v>
      </c>
      <c r="F70" s="711" t="s">
        <v>1404</v>
      </c>
      <c r="H70" s="719"/>
      <c r="J70" s="719"/>
      <c r="K70" s="708"/>
      <c r="L70" s="719"/>
      <c r="M70" s="708"/>
      <c r="N70" s="719"/>
      <c r="O70" s="708"/>
      <c r="R70" s="709" t="s">
        <v>1405</v>
      </c>
      <c r="T70" s="708">
        <v>0</v>
      </c>
      <c r="U70" s="708"/>
      <c r="V70" s="708">
        <f t="shared" si="67"/>
        <v>0</v>
      </c>
      <c r="W70" s="708"/>
      <c r="X70" s="708">
        <v>0</v>
      </c>
      <c r="Y70" s="708"/>
      <c r="Z70" s="708">
        <f t="shared" si="68"/>
        <v>0</v>
      </c>
      <c r="AA70" s="708"/>
      <c r="AB70" s="609" t="s">
        <v>1406</v>
      </c>
      <c r="AC70" s="708"/>
      <c r="AD70" s="708">
        <v>0</v>
      </c>
      <c r="AE70" s="708"/>
      <c r="AF70" s="719"/>
      <c r="AG70" s="708"/>
      <c r="AH70" s="708">
        <v>0</v>
      </c>
      <c r="AI70" s="708"/>
      <c r="AJ70" s="609" t="s">
        <v>1407</v>
      </c>
      <c r="AK70" s="708"/>
      <c r="AL70" s="607">
        <f t="shared" si="69"/>
        <v>0</v>
      </c>
      <c r="AM70" s="708"/>
      <c r="AN70" s="607">
        <f t="shared" si="69"/>
        <v>0</v>
      </c>
      <c r="AO70" s="708"/>
      <c r="AP70" s="607">
        <f t="shared" si="69"/>
        <v>0</v>
      </c>
      <c r="AQ70" s="708"/>
      <c r="AR70" s="708">
        <f t="shared" si="64"/>
        <v>0</v>
      </c>
      <c r="AT70" s="708">
        <v>0</v>
      </c>
      <c r="AU70" s="708"/>
      <c r="AV70" s="719"/>
      <c r="AW70" s="708"/>
      <c r="AX70" s="708">
        <v>0</v>
      </c>
      <c r="AY70" s="708"/>
      <c r="AZ70" s="607">
        <f t="shared" si="70"/>
        <v>0</v>
      </c>
      <c r="BA70" s="708"/>
      <c r="BB70" s="607">
        <f t="shared" si="71"/>
        <v>0</v>
      </c>
      <c r="BC70" s="708"/>
      <c r="BD70" s="607">
        <f t="shared" si="72"/>
        <v>0</v>
      </c>
      <c r="BE70" s="708"/>
      <c r="BF70" s="708">
        <f t="shared" si="65"/>
        <v>0</v>
      </c>
      <c r="BG70" s="708"/>
      <c r="BH70" s="708">
        <f t="shared" si="66"/>
        <v>0</v>
      </c>
      <c r="BJ70" s="592">
        <f t="shared" si="62"/>
        <v>428</v>
      </c>
    </row>
    <row r="71" spans="1:62">
      <c r="A71" s="592">
        <f t="shared" si="63"/>
        <v>429</v>
      </c>
      <c r="B71" s="725" t="s">
        <v>1463</v>
      </c>
      <c r="F71" s="711" t="s">
        <v>1404</v>
      </c>
      <c r="H71" s="719"/>
      <c r="J71" s="719"/>
      <c r="K71" s="708"/>
      <c r="L71" s="719"/>
      <c r="M71" s="708"/>
      <c r="N71" s="719"/>
      <c r="O71" s="708"/>
      <c r="R71" s="709" t="s">
        <v>1405</v>
      </c>
      <c r="T71" s="708">
        <v>0</v>
      </c>
      <c r="U71" s="708"/>
      <c r="V71" s="708">
        <f t="shared" si="67"/>
        <v>0</v>
      </c>
      <c r="W71" s="708"/>
      <c r="X71" s="708">
        <v>0</v>
      </c>
      <c r="Y71" s="708"/>
      <c r="Z71" s="708">
        <f t="shared" si="68"/>
        <v>0</v>
      </c>
      <c r="AA71" s="708"/>
      <c r="AB71" s="609" t="s">
        <v>1406</v>
      </c>
      <c r="AC71" s="708"/>
      <c r="AD71" s="708">
        <v>0</v>
      </c>
      <c r="AE71" s="708"/>
      <c r="AF71" s="719"/>
      <c r="AG71" s="708"/>
      <c r="AH71" s="708">
        <v>0</v>
      </c>
      <c r="AI71" s="708"/>
      <c r="AJ71" s="609" t="s">
        <v>1407</v>
      </c>
      <c r="AK71" s="708"/>
      <c r="AL71" s="607">
        <f t="shared" si="69"/>
        <v>0</v>
      </c>
      <c r="AM71" s="708"/>
      <c r="AN71" s="607">
        <f t="shared" si="69"/>
        <v>0</v>
      </c>
      <c r="AO71" s="708"/>
      <c r="AP71" s="607">
        <f t="shared" si="69"/>
        <v>0</v>
      </c>
      <c r="AQ71" s="708"/>
      <c r="AR71" s="708">
        <f t="shared" si="64"/>
        <v>0</v>
      </c>
      <c r="AT71" s="708">
        <v>0</v>
      </c>
      <c r="AU71" s="708"/>
      <c r="AV71" s="719"/>
      <c r="AW71" s="708"/>
      <c r="AX71" s="708">
        <v>0</v>
      </c>
      <c r="AY71" s="708"/>
      <c r="AZ71" s="607">
        <f t="shared" si="70"/>
        <v>0</v>
      </c>
      <c r="BA71" s="708"/>
      <c r="BB71" s="607">
        <f t="shared" si="71"/>
        <v>0</v>
      </c>
      <c r="BC71" s="708"/>
      <c r="BD71" s="607">
        <f t="shared" si="72"/>
        <v>0</v>
      </c>
      <c r="BE71" s="708"/>
      <c r="BF71" s="708">
        <f t="shared" si="65"/>
        <v>0</v>
      </c>
      <c r="BG71" s="708"/>
      <c r="BH71" s="708">
        <f t="shared" si="66"/>
        <v>0</v>
      </c>
      <c r="BJ71" s="592">
        <f t="shared" si="62"/>
        <v>429</v>
      </c>
    </row>
    <row r="72" spans="1:62">
      <c r="A72" s="592">
        <f t="shared" si="63"/>
        <v>430</v>
      </c>
      <c r="B72" s="725" t="s">
        <v>1464</v>
      </c>
      <c r="F72" s="711" t="s">
        <v>1404</v>
      </c>
      <c r="H72" s="719"/>
      <c r="J72" s="719"/>
      <c r="K72" s="708"/>
      <c r="L72" s="719"/>
      <c r="M72" s="708"/>
      <c r="N72" s="719"/>
      <c r="O72" s="708"/>
      <c r="R72" s="709" t="s">
        <v>1405</v>
      </c>
      <c r="T72" s="708">
        <v>0</v>
      </c>
      <c r="U72" s="708"/>
      <c r="V72" s="708">
        <f t="shared" si="67"/>
        <v>0</v>
      </c>
      <c r="W72" s="708"/>
      <c r="X72" s="708">
        <v>0</v>
      </c>
      <c r="Y72" s="708"/>
      <c r="Z72" s="708">
        <f t="shared" si="68"/>
        <v>0</v>
      </c>
      <c r="AA72" s="708"/>
      <c r="AB72" s="609" t="s">
        <v>1406</v>
      </c>
      <c r="AC72" s="708"/>
      <c r="AD72" s="708">
        <v>0</v>
      </c>
      <c r="AE72" s="708"/>
      <c r="AF72" s="719"/>
      <c r="AG72" s="708"/>
      <c r="AH72" s="708">
        <v>0</v>
      </c>
      <c r="AI72" s="708"/>
      <c r="AJ72" s="609" t="s">
        <v>1407</v>
      </c>
      <c r="AK72" s="708"/>
      <c r="AL72" s="607">
        <f t="shared" si="69"/>
        <v>0</v>
      </c>
      <c r="AM72" s="708"/>
      <c r="AN72" s="607">
        <f t="shared" si="69"/>
        <v>0</v>
      </c>
      <c r="AO72" s="708"/>
      <c r="AP72" s="607">
        <f t="shared" si="69"/>
        <v>0</v>
      </c>
      <c r="AQ72" s="708"/>
      <c r="AR72" s="708">
        <f t="shared" si="64"/>
        <v>0</v>
      </c>
      <c r="AT72" s="708">
        <v>0</v>
      </c>
      <c r="AU72" s="708"/>
      <c r="AV72" s="719"/>
      <c r="AW72" s="708"/>
      <c r="AX72" s="708">
        <v>0</v>
      </c>
      <c r="AY72" s="708"/>
      <c r="AZ72" s="607">
        <f t="shared" si="70"/>
        <v>0</v>
      </c>
      <c r="BA72" s="708"/>
      <c r="BB72" s="607">
        <f t="shared" si="71"/>
        <v>0</v>
      </c>
      <c r="BC72" s="708"/>
      <c r="BD72" s="607">
        <f t="shared" si="72"/>
        <v>0</v>
      </c>
      <c r="BE72" s="708"/>
      <c r="BF72" s="708">
        <f t="shared" si="65"/>
        <v>0</v>
      </c>
      <c r="BG72" s="708"/>
      <c r="BH72" s="708">
        <f t="shared" si="66"/>
        <v>0</v>
      </c>
      <c r="BJ72" s="592">
        <f t="shared" si="62"/>
        <v>430</v>
      </c>
    </row>
    <row r="73" spans="1:62">
      <c r="A73" s="592">
        <f t="shared" si="63"/>
        <v>431</v>
      </c>
      <c r="B73" s="725" t="s">
        <v>1465</v>
      </c>
      <c r="F73" s="711" t="s">
        <v>1404</v>
      </c>
      <c r="H73" s="719"/>
      <c r="J73" s="719"/>
      <c r="K73" s="708"/>
      <c r="L73" s="719"/>
      <c r="M73" s="708"/>
      <c r="N73" s="719"/>
      <c r="O73" s="708"/>
      <c r="R73" s="709" t="s">
        <v>1405</v>
      </c>
      <c r="T73" s="708">
        <v>0</v>
      </c>
      <c r="U73" s="708"/>
      <c r="V73" s="708">
        <f t="shared" si="67"/>
        <v>0</v>
      </c>
      <c r="W73" s="708"/>
      <c r="X73" s="708">
        <v>0</v>
      </c>
      <c r="Y73" s="708"/>
      <c r="Z73" s="708">
        <f t="shared" si="68"/>
        <v>0</v>
      </c>
      <c r="AA73" s="708"/>
      <c r="AB73" s="609" t="s">
        <v>1406</v>
      </c>
      <c r="AC73" s="708"/>
      <c r="AD73" s="708">
        <v>0</v>
      </c>
      <c r="AE73" s="708"/>
      <c r="AF73" s="719"/>
      <c r="AG73" s="708"/>
      <c r="AH73" s="708">
        <v>0</v>
      </c>
      <c r="AI73" s="708"/>
      <c r="AJ73" s="609" t="s">
        <v>1407</v>
      </c>
      <c r="AK73" s="708"/>
      <c r="AL73" s="607">
        <f t="shared" si="69"/>
        <v>0</v>
      </c>
      <c r="AM73" s="708"/>
      <c r="AN73" s="607">
        <f t="shared" si="69"/>
        <v>0</v>
      </c>
      <c r="AO73" s="708"/>
      <c r="AP73" s="607">
        <f t="shared" si="69"/>
        <v>0</v>
      </c>
      <c r="AQ73" s="708"/>
      <c r="AR73" s="708">
        <f t="shared" si="64"/>
        <v>0</v>
      </c>
      <c r="AT73" s="708">
        <v>0</v>
      </c>
      <c r="AU73" s="708"/>
      <c r="AV73" s="719"/>
      <c r="AW73" s="708"/>
      <c r="AX73" s="708">
        <v>0</v>
      </c>
      <c r="AY73" s="708"/>
      <c r="AZ73" s="607">
        <f t="shared" si="70"/>
        <v>0</v>
      </c>
      <c r="BA73" s="708"/>
      <c r="BB73" s="607">
        <f t="shared" si="71"/>
        <v>0</v>
      </c>
      <c r="BC73" s="708"/>
      <c r="BD73" s="607">
        <f t="shared" si="72"/>
        <v>0</v>
      </c>
      <c r="BE73" s="708"/>
      <c r="BF73" s="708">
        <f t="shared" si="65"/>
        <v>0</v>
      </c>
      <c r="BG73" s="708"/>
      <c r="BH73" s="708">
        <f t="shared" si="66"/>
        <v>0</v>
      </c>
      <c r="BJ73" s="592">
        <f t="shared" si="62"/>
        <v>431</v>
      </c>
    </row>
    <row r="74" spans="1:62">
      <c r="A74" s="592">
        <f t="shared" si="63"/>
        <v>432</v>
      </c>
      <c r="B74" s="725" t="s">
        <v>1466</v>
      </c>
      <c r="F74" s="711" t="s">
        <v>1404</v>
      </c>
      <c r="H74" s="719"/>
      <c r="J74" s="719"/>
      <c r="K74" s="708"/>
      <c r="L74" s="719"/>
      <c r="M74" s="708"/>
      <c r="N74" s="719"/>
      <c r="O74" s="708"/>
      <c r="R74" s="709" t="s">
        <v>1405</v>
      </c>
      <c r="T74" s="708">
        <v>0</v>
      </c>
      <c r="U74" s="708"/>
      <c r="V74" s="708">
        <f t="shared" si="67"/>
        <v>0</v>
      </c>
      <c r="W74" s="708"/>
      <c r="X74" s="708">
        <v>0</v>
      </c>
      <c r="Y74" s="708"/>
      <c r="Z74" s="708">
        <f t="shared" si="68"/>
        <v>0</v>
      </c>
      <c r="AA74" s="708"/>
      <c r="AB74" s="609" t="s">
        <v>1406</v>
      </c>
      <c r="AC74" s="708"/>
      <c r="AD74" s="708">
        <v>0</v>
      </c>
      <c r="AE74" s="708"/>
      <c r="AF74" s="719"/>
      <c r="AG74" s="708"/>
      <c r="AH74" s="708">
        <v>0</v>
      </c>
      <c r="AI74" s="708"/>
      <c r="AJ74" s="609" t="s">
        <v>1407</v>
      </c>
      <c r="AK74" s="708"/>
      <c r="AL74" s="607">
        <f t="shared" si="69"/>
        <v>0</v>
      </c>
      <c r="AM74" s="708"/>
      <c r="AN74" s="607">
        <f t="shared" si="69"/>
        <v>0</v>
      </c>
      <c r="AO74" s="708"/>
      <c r="AP74" s="607">
        <f t="shared" si="69"/>
        <v>0</v>
      </c>
      <c r="AQ74" s="708"/>
      <c r="AR74" s="708">
        <f t="shared" si="64"/>
        <v>0</v>
      </c>
      <c r="AT74" s="708">
        <v>0</v>
      </c>
      <c r="AU74" s="708"/>
      <c r="AV74" s="719"/>
      <c r="AW74" s="708"/>
      <c r="AX74" s="708">
        <v>0</v>
      </c>
      <c r="AY74" s="708"/>
      <c r="AZ74" s="607">
        <f t="shared" si="70"/>
        <v>0</v>
      </c>
      <c r="BA74" s="708"/>
      <c r="BB74" s="607">
        <f t="shared" si="71"/>
        <v>0</v>
      </c>
      <c r="BC74" s="708"/>
      <c r="BD74" s="607">
        <f t="shared" si="72"/>
        <v>0</v>
      </c>
      <c r="BE74" s="708"/>
      <c r="BF74" s="708">
        <f t="shared" si="65"/>
        <v>0</v>
      </c>
      <c r="BG74" s="708"/>
      <c r="BH74" s="708">
        <f t="shared" si="66"/>
        <v>0</v>
      </c>
      <c r="BJ74" s="592">
        <f t="shared" si="62"/>
        <v>432</v>
      </c>
    </row>
    <row r="75" spans="1:62">
      <c r="A75" s="592">
        <f t="shared" si="63"/>
        <v>433</v>
      </c>
      <c r="B75" s="725" t="s">
        <v>1467</v>
      </c>
      <c r="F75" s="711" t="s">
        <v>1404</v>
      </c>
      <c r="H75" s="719"/>
      <c r="J75" s="719"/>
      <c r="K75" s="708"/>
      <c r="L75" s="719"/>
      <c r="M75" s="708"/>
      <c r="N75" s="719"/>
      <c r="O75" s="708"/>
      <c r="R75" s="709" t="s">
        <v>1405</v>
      </c>
      <c r="T75" s="708">
        <v>0</v>
      </c>
      <c r="U75" s="708"/>
      <c r="V75" s="708">
        <f t="shared" si="67"/>
        <v>0</v>
      </c>
      <c r="W75" s="708"/>
      <c r="X75" s="708">
        <v>0</v>
      </c>
      <c r="Y75" s="708"/>
      <c r="Z75" s="708">
        <f t="shared" si="68"/>
        <v>0</v>
      </c>
      <c r="AA75" s="708"/>
      <c r="AB75" s="609" t="s">
        <v>1406</v>
      </c>
      <c r="AC75" s="708"/>
      <c r="AD75" s="708">
        <v>0</v>
      </c>
      <c r="AE75" s="708"/>
      <c r="AF75" s="719"/>
      <c r="AG75" s="708"/>
      <c r="AH75" s="708">
        <v>0</v>
      </c>
      <c r="AI75" s="708"/>
      <c r="AJ75" s="609" t="s">
        <v>1407</v>
      </c>
      <c r="AK75" s="708"/>
      <c r="AL75" s="607">
        <f t="shared" si="69"/>
        <v>0</v>
      </c>
      <c r="AM75" s="708"/>
      <c r="AN75" s="607">
        <f t="shared" si="69"/>
        <v>0</v>
      </c>
      <c r="AO75" s="708"/>
      <c r="AP75" s="607">
        <f t="shared" si="69"/>
        <v>0</v>
      </c>
      <c r="AQ75" s="708"/>
      <c r="AR75" s="708">
        <f t="shared" si="64"/>
        <v>0</v>
      </c>
      <c r="AT75" s="708">
        <v>0</v>
      </c>
      <c r="AU75" s="708"/>
      <c r="AV75" s="719"/>
      <c r="AW75" s="708"/>
      <c r="AX75" s="708">
        <v>0</v>
      </c>
      <c r="AY75" s="708"/>
      <c r="AZ75" s="607">
        <f t="shared" si="70"/>
        <v>0</v>
      </c>
      <c r="BA75" s="708"/>
      <c r="BB75" s="607">
        <f t="shared" si="71"/>
        <v>0</v>
      </c>
      <c r="BC75" s="708"/>
      <c r="BD75" s="607">
        <f t="shared" si="72"/>
        <v>0</v>
      </c>
      <c r="BE75" s="708"/>
      <c r="BF75" s="708">
        <f t="shared" si="65"/>
        <v>0</v>
      </c>
      <c r="BG75" s="708"/>
      <c r="BH75" s="708">
        <f t="shared" si="66"/>
        <v>0</v>
      </c>
      <c r="BJ75" s="592">
        <f t="shared" si="62"/>
        <v>433</v>
      </c>
    </row>
    <row r="76" spans="1:62">
      <c r="A76" s="592">
        <f t="shared" si="63"/>
        <v>434</v>
      </c>
      <c r="B76" s="725" t="s">
        <v>1468</v>
      </c>
      <c r="F76" s="711" t="s">
        <v>1404</v>
      </c>
      <c r="H76" s="719"/>
      <c r="J76" s="719"/>
      <c r="K76" s="708"/>
      <c r="L76" s="719"/>
      <c r="M76" s="708"/>
      <c r="N76" s="719"/>
      <c r="O76" s="708"/>
      <c r="R76" s="709" t="s">
        <v>1405</v>
      </c>
      <c r="T76" s="708">
        <v>0</v>
      </c>
      <c r="U76" s="708"/>
      <c r="V76" s="708">
        <f t="shared" si="67"/>
        <v>0</v>
      </c>
      <c r="W76" s="708"/>
      <c r="X76" s="708">
        <v>0</v>
      </c>
      <c r="Y76" s="708"/>
      <c r="Z76" s="708">
        <f t="shared" si="68"/>
        <v>0</v>
      </c>
      <c r="AA76" s="708"/>
      <c r="AB76" s="609" t="s">
        <v>1406</v>
      </c>
      <c r="AC76" s="708"/>
      <c r="AD76" s="708">
        <v>0</v>
      </c>
      <c r="AE76" s="708"/>
      <c r="AF76" s="719"/>
      <c r="AG76" s="708"/>
      <c r="AH76" s="708">
        <v>0</v>
      </c>
      <c r="AI76" s="708"/>
      <c r="AJ76" s="609" t="s">
        <v>1407</v>
      </c>
      <c r="AK76" s="708"/>
      <c r="AL76" s="607">
        <f t="shared" si="69"/>
        <v>0</v>
      </c>
      <c r="AM76" s="708"/>
      <c r="AN76" s="607">
        <f t="shared" si="69"/>
        <v>0</v>
      </c>
      <c r="AO76" s="708"/>
      <c r="AP76" s="607">
        <f t="shared" si="69"/>
        <v>0</v>
      </c>
      <c r="AQ76" s="708"/>
      <c r="AR76" s="708">
        <f t="shared" si="64"/>
        <v>0</v>
      </c>
      <c r="AT76" s="708">
        <v>0</v>
      </c>
      <c r="AU76" s="708"/>
      <c r="AV76" s="719"/>
      <c r="AW76" s="708"/>
      <c r="AX76" s="708">
        <v>0</v>
      </c>
      <c r="AY76" s="708"/>
      <c r="AZ76" s="607">
        <f t="shared" si="70"/>
        <v>0</v>
      </c>
      <c r="BA76" s="708"/>
      <c r="BB76" s="607">
        <f t="shared" si="71"/>
        <v>0</v>
      </c>
      <c r="BC76" s="708"/>
      <c r="BD76" s="607">
        <f t="shared" si="72"/>
        <v>0</v>
      </c>
      <c r="BE76" s="708"/>
      <c r="BF76" s="708">
        <f t="shared" si="65"/>
        <v>0</v>
      </c>
      <c r="BG76" s="708"/>
      <c r="BH76" s="708">
        <f t="shared" si="66"/>
        <v>0</v>
      </c>
      <c r="BJ76" s="592">
        <f t="shared" si="62"/>
        <v>434</v>
      </c>
    </row>
    <row r="77" spans="1:62">
      <c r="A77" s="592">
        <f t="shared" si="63"/>
        <v>435</v>
      </c>
      <c r="B77" s="725" t="s">
        <v>1469</v>
      </c>
      <c r="F77" s="711" t="s">
        <v>1404</v>
      </c>
      <c r="H77" s="719"/>
      <c r="J77" s="719"/>
      <c r="K77" s="708"/>
      <c r="L77" s="719"/>
      <c r="M77" s="708"/>
      <c r="N77" s="719"/>
      <c r="O77" s="708"/>
      <c r="R77" s="709" t="s">
        <v>1405</v>
      </c>
      <c r="T77" s="708">
        <v>0</v>
      </c>
      <c r="U77" s="708"/>
      <c r="V77" s="708">
        <f t="shared" si="67"/>
        <v>0</v>
      </c>
      <c r="W77" s="708"/>
      <c r="X77" s="708">
        <v>0</v>
      </c>
      <c r="Y77" s="708"/>
      <c r="Z77" s="708">
        <f t="shared" si="68"/>
        <v>0</v>
      </c>
      <c r="AA77" s="708"/>
      <c r="AB77" s="609" t="s">
        <v>1406</v>
      </c>
      <c r="AC77" s="708"/>
      <c r="AD77" s="708">
        <v>0</v>
      </c>
      <c r="AE77" s="708"/>
      <c r="AF77" s="719"/>
      <c r="AG77" s="708"/>
      <c r="AH77" s="708">
        <v>0</v>
      </c>
      <c r="AI77" s="708"/>
      <c r="AJ77" s="609" t="s">
        <v>1407</v>
      </c>
      <c r="AK77" s="708"/>
      <c r="AL77" s="607">
        <f t="shared" si="69"/>
        <v>0</v>
      </c>
      <c r="AM77" s="708"/>
      <c r="AN77" s="607">
        <f t="shared" si="69"/>
        <v>0</v>
      </c>
      <c r="AO77" s="708"/>
      <c r="AP77" s="607">
        <f t="shared" si="69"/>
        <v>0</v>
      </c>
      <c r="AQ77" s="708"/>
      <c r="AR77" s="708">
        <f t="shared" si="64"/>
        <v>0</v>
      </c>
      <c r="AT77" s="708">
        <v>0</v>
      </c>
      <c r="AU77" s="708"/>
      <c r="AV77" s="719"/>
      <c r="AW77" s="708"/>
      <c r="AX77" s="708">
        <v>0</v>
      </c>
      <c r="AY77" s="708"/>
      <c r="AZ77" s="607">
        <f t="shared" si="70"/>
        <v>0</v>
      </c>
      <c r="BA77" s="708"/>
      <c r="BB77" s="607">
        <f t="shared" si="71"/>
        <v>0</v>
      </c>
      <c r="BC77" s="708"/>
      <c r="BD77" s="607">
        <f t="shared" si="72"/>
        <v>0</v>
      </c>
      <c r="BE77" s="708"/>
      <c r="BF77" s="708">
        <f t="shared" si="65"/>
        <v>0</v>
      </c>
      <c r="BG77" s="708"/>
      <c r="BH77" s="708">
        <f t="shared" si="66"/>
        <v>0</v>
      </c>
      <c r="BJ77" s="592">
        <f t="shared" si="62"/>
        <v>435</v>
      </c>
    </row>
    <row r="78" spans="1:62">
      <c r="A78" s="592">
        <f t="shared" si="63"/>
        <v>436</v>
      </c>
      <c r="B78" s="725" t="s">
        <v>1470</v>
      </c>
      <c r="F78" s="711" t="s">
        <v>1404</v>
      </c>
      <c r="H78" s="719"/>
      <c r="J78" s="719"/>
      <c r="K78" s="708"/>
      <c r="L78" s="719"/>
      <c r="M78" s="708"/>
      <c r="N78" s="719"/>
      <c r="O78" s="708"/>
      <c r="R78" s="709" t="s">
        <v>1405</v>
      </c>
      <c r="T78" s="708">
        <v>0</v>
      </c>
      <c r="U78" s="708"/>
      <c r="V78" s="708">
        <f t="shared" si="67"/>
        <v>0</v>
      </c>
      <c r="W78" s="708"/>
      <c r="X78" s="708">
        <v>0</v>
      </c>
      <c r="Y78" s="708"/>
      <c r="Z78" s="708">
        <f t="shared" si="68"/>
        <v>0</v>
      </c>
      <c r="AA78" s="708"/>
      <c r="AB78" s="609" t="s">
        <v>1406</v>
      </c>
      <c r="AC78" s="708"/>
      <c r="AD78" s="708">
        <v>0</v>
      </c>
      <c r="AE78" s="708"/>
      <c r="AF78" s="719"/>
      <c r="AG78" s="708"/>
      <c r="AH78" s="708">
        <v>0</v>
      </c>
      <c r="AI78" s="708"/>
      <c r="AJ78" s="609" t="s">
        <v>1407</v>
      </c>
      <c r="AK78" s="708"/>
      <c r="AL78" s="607">
        <f t="shared" si="69"/>
        <v>0</v>
      </c>
      <c r="AM78" s="708"/>
      <c r="AN78" s="607">
        <f t="shared" si="69"/>
        <v>0</v>
      </c>
      <c r="AO78" s="708"/>
      <c r="AP78" s="607">
        <f t="shared" si="69"/>
        <v>0</v>
      </c>
      <c r="AQ78" s="708"/>
      <c r="AR78" s="708">
        <f t="shared" si="64"/>
        <v>0</v>
      </c>
      <c r="AT78" s="708">
        <v>0</v>
      </c>
      <c r="AU78" s="708"/>
      <c r="AV78" s="719"/>
      <c r="AW78" s="708"/>
      <c r="AX78" s="708">
        <v>0</v>
      </c>
      <c r="AY78" s="708"/>
      <c r="AZ78" s="607">
        <f t="shared" si="70"/>
        <v>0</v>
      </c>
      <c r="BA78" s="708"/>
      <c r="BB78" s="607">
        <f t="shared" si="71"/>
        <v>0</v>
      </c>
      <c r="BC78" s="708"/>
      <c r="BD78" s="607">
        <f t="shared" si="72"/>
        <v>0</v>
      </c>
      <c r="BE78" s="708"/>
      <c r="BF78" s="708">
        <f t="shared" si="65"/>
        <v>0</v>
      </c>
      <c r="BG78" s="708"/>
      <c r="BH78" s="708">
        <f t="shared" si="66"/>
        <v>0</v>
      </c>
      <c r="BJ78" s="592">
        <f t="shared" si="62"/>
        <v>436</v>
      </c>
    </row>
    <row r="79" spans="1:62">
      <c r="A79" s="592">
        <f t="shared" si="63"/>
        <v>437</v>
      </c>
      <c r="B79" s="725" t="s">
        <v>1471</v>
      </c>
      <c r="F79" s="711" t="s">
        <v>1404</v>
      </c>
      <c r="H79" s="719"/>
      <c r="J79" s="719"/>
      <c r="K79" s="708"/>
      <c r="L79" s="719"/>
      <c r="M79" s="708"/>
      <c r="N79" s="719"/>
      <c r="O79" s="708"/>
      <c r="R79" s="709" t="s">
        <v>1405</v>
      </c>
      <c r="T79" s="708">
        <v>0</v>
      </c>
      <c r="U79" s="708"/>
      <c r="V79" s="708">
        <f t="shared" si="67"/>
        <v>0</v>
      </c>
      <c r="W79" s="708"/>
      <c r="X79" s="708">
        <v>0</v>
      </c>
      <c r="Y79" s="708"/>
      <c r="Z79" s="708">
        <f t="shared" si="68"/>
        <v>0</v>
      </c>
      <c r="AA79" s="708"/>
      <c r="AB79" s="609" t="s">
        <v>1406</v>
      </c>
      <c r="AC79" s="708"/>
      <c r="AD79" s="708">
        <v>0</v>
      </c>
      <c r="AE79" s="708"/>
      <c r="AF79" s="719"/>
      <c r="AG79" s="708"/>
      <c r="AH79" s="708">
        <v>0</v>
      </c>
      <c r="AI79" s="708"/>
      <c r="AJ79" s="609" t="s">
        <v>1407</v>
      </c>
      <c r="AK79" s="708"/>
      <c r="AL79" s="607">
        <f t="shared" si="69"/>
        <v>0</v>
      </c>
      <c r="AM79" s="708"/>
      <c r="AN79" s="607">
        <f t="shared" si="69"/>
        <v>0</v>
      </c>
      <c r="AO79" s="708"/>
      <c r="AP79" s="607">
        <f t="shared" si="69"/>
        <v>0</v>
      </c>
      <c r="AQ79" s="708"/>
      <c r="AR79" s="708">
        <f t="shared" si="64"/>
        <v>0</v>
      </c>
      <c r="AT79" s="708">
        <v>0</v>
      </c>
      <c r="AU79" s="708"/>
      <c r="AV79" s="719"/>
      <c r="AW79" s="708"/>
      <c r="AX79" s="708">
        <v>0</v>
      </c>
      <c r="AY79" s="708"/>
      <c r="AZ79" s="607">
        <f t="shared" si="70"/>
        <v>0</v>
      </c>
      <c r="BA79" s="708"/>
      <c r="BB79" s="607">
        <f t="shared" si="71"/>
        <v>0</v>
      </c>
      <c r="BC79" s="708"/>
      <c r="BD79" s="607">
        <f t="shared" si="72"/>
        <v>0</v>
      </c>
      <c r="BE79" s="708"/>
      <c r="BF79" s="708">
        <f t="shared" si="65"/>
        <v>0</v>
      </c>
      <c r="BG79" s="708"/>
      <c r="BH79" s="708">
        <f t="shared" si="66"/>
        <v>0</v>
      </c>
      <c r="BJ79" s="592">
        <f t="shared" si="62"/>
        <v>437</v>
      </c>
    </row>
    <row r="80" spans="1:62">
      <c r="A80" s="592">
        <f t="shared" si="63"/>
        <v>438</v>
      </c>
      <c r="B80" s="725" t="s">
        <v>1472</v>
      </c>
      <c r="F80" s="711" t="s">
        <v>1404</v>
      </c>
      <c r="H80" s="719"/>
      <c r="J80" s="719"/>
      <c r="K80" s="708"/>
      <c r="L80" s="719"/>
      <c r="M80" s="708"/>
      <c r="N80" s="719"/>
      <c r="O80" s="708"/>
      <c r="R80" s="709" t="s">
        <v>1405</v>
      </c>
      <c r="T80" s="708">
        <v>0</v>
      </c>
      <c r="U80" s="708"/>
      <c r="V80" s="708">
        <f t="shared" si="67"/>
        <v>0</v>
      </c>
      <c r="W80" s="708"/>
      <c r="X80" s="708">
        <v>0</v>
      </c>
      <c r="Y80" s="708"/>
      <c r="Z80" s="708">
        <f t="shared" si="68"/>
        <v>0</v>
      </c>
      <c r="AA80" s="708"/>
      <c r="AB80" s="609" t="s">
        <v>1406</v>
      </c>
      <c r="AC80" s="708"/>
      <c r="AD80" s="708">
        <v>0</v>
      </c>
      <c r="AE80" s="708"/>
      <c r="AF80" s="719"/>
      <c r="AG80" s="708"/>
      <c r="AH80" s="708">
        <v>0</v>
      </c>
      <c r="AI80" s="708"/>
      <c r="AJ80" s="609" t="s">
        <v>1407</v>
      </c>
      <c r="AK80" s="708"/>
      <c r="AL80" s="607">
        <f t="shared" si="69"/>
        <v>0</v>
      </c>
      <c r="AM80" s="708"/>
      <c r="AN80" s="607">
        <f t="shared" si="69"/>
        <v>0</v>
      </c>
      <c r="AO80" s="708"/>
      <c r="AP80" s="607">
        <f t="shared" si="69"/>
        <v>0</v>
      </c>
      <c r="AQ80" s="708"/>
      <c r="AR80" s="708">
        <f t="shared" si="64"/>
        <v>0</v>
      </c>
      <c r="AT80" s="708">
        <v>0</v>
      </c>
      <c r="AU80" s="708"/>
      <c r="AV80" s="719"/>
      <c r="AW80" s="708"/>
      <c r="AX80" s="708">
        <v>0</v>
      </c>
      <c r="AY80" s="708"/>
      <c r="AZ80" s="607">
        <f t="shared" si="70"/>
        <v>0</v>
      </c>
      <c r="BA80" s="708"/>
      <c r="BB80" s="607">
        <f t="shared" si="71"/>
        <v>0</v>
      </c>
      <c r="BC80" s="708"/>
      <c r="BD80" s="607">
        <f t="shared" si="72"/>
        <v>0</v>
      </c>
      <c r="BE80" s="708"/>
      <c r="BF80" s="708">
        <f t="shared" si="65"/>
        <v>0</v>
      </c>
      <c r="BG80" s="708"/>
      <c r="BH80" s="708">
        <f t="shared" si="66"/>
        <v>0</v>
      </c>
      <c r="BJ80" s="592">
        <f t="shared" si="62"/>
        <v>438</v>
      </c>
    </row>
    <row r="81" spans="1:62">
      <c r="A81" s="592">
        <f t="shared" si="63"/>
        <v>439</v>
      </c>
      <c r="B81" s="725" t="s">
        <v>1473</v>
      </c>
      <c r="F81" s="711" t="s">
        <v>1404</v>
      </c>
      <c r="H81" s="719"/>
      <c r="J81" s="719"/>
      <c r="K81" s="708"/>
      <c r="L81" s="719"/>
      <c r="M81" s="708"/>
      <c r="N81" s="719"/>
      <c r="O81" s="708"/>
      <c r="R81" s="709" t="s">
        <v>1405</v>
      </c>
      <c r="T81" s="708">
        <v>0</v>
      </c>
      <c r="U81" s="708"/>
      <c r="V81" s="708">
        <f t="shared" si="67"/>
        <v>0</v>
      </c>
      <c r="W81" s="708"/>
      <c r="X81" s="708">
        <v>0</v>
      </c>
      <c r="Y81" s="708"/>
      <c r="Z81" s="708">
        <f t="shared" si="68"/>
        <v>0</v>
      </c>
      <c r="AA81" s="708"/>
      <c r="AB81" s="609" t="s">
        <v>1406</v>
      </c>
      <c r="AC81" s="708"/>
      <c r="AD81" s="708">
        <v>0</v>
      </c>
      <c r="AE81" s="708"/>
      <c r="AF81" s="719"/>
      <c r="AG81" s="708"/>
      <c r="AH81" s="708">
        <v>0</v>
      </c>
      <c r="AI81" s="708"/>
      <c r="AJ81" s="609" t="s">
        <v>1407</v>
      </c>
      <c r="AK81" s="708"/>
      <c r="AL81" s="607">
        <f t="shared" si="69"/>
        <v>0</v>
      </c>
      <c r="AM81" s="708"/>
      <c r="AN81" s="607">
        <f t="shared" si="69"/>
        <v>0</v>
      </c>
      <c r="AO81" s="708"/>
      <c r="AP81" s="607">
        <f t="shared" si="69"/>
        <v>0</v>
      </c>
      <c r="AQ81" s="708"/>
      <c r="AR81" s="708">
        <f t="shared" si="64"/>
        <v>0</v>
      </c>
      <c r="AT81" s="708">
        <v>0</v>
      </c>
      <c r="AU81" s="708"/>
      <c r="AV81" s="719"/>
      <c r="AW81" s="708"/>
      <c r="AX81" s="708">
        <v>0</v>
      </c>
      <c r="AY81" s="708"/>
      <c r="AZ81" s="607">
        <f t="shared" si="70"/>
        <v>0</v>
      </c>
      <c r="BA81" s="708"/>
      <c r="BB81" s="607">
        <f t="shared" si="71"/>
        <v>0</v>
      </c>
      <c r="BC81" s="708"/>
      <c r="BD81" s="607">
        <f t="shared" si="72"/>
        <v>0</v>
      </c>
      <c r="BE81" s="708"/>
      <c r="BF81" s="708">
        <f t="shared" si="65"/>
        <v>0</v>
      </c>
      <c r="BG81" s="708"/>
      <c r="BH81" s="708">
        <f t="shared" si="66"/>
        <v>0</v>
      </c>
      <c r="BJ81" s="592">
        <f t="shared" si="62"/>
        <v>439</v>
      </c>
    </row>
    <row r="82" spans="1:62">
      <c r="A82" s="592">
        <f t="shared" si="63"/>
        <v>440</v>
      </c>
      <c r="B82" s="725" t="s">
        <v>1474</v>
      </c>
      <c r="F82" s="711" t="s">
        <v>1404</v>
      </c>
      <c r="H82" s="719"/>
      <c r="J82" s="719"/>
      <c r="K82" s="708"/>
      <c r="L82" s="719"/>
      <c r="M82" s="708"/>
      <c r="N82" s="719"/>
      <c r="O82" s="708"/>
      <c r="R82" s="709" t="s">
        <v>1405</v>
      </c>
      <c r="T82" s="708">
        <v>0</v>
      </c>
      <c r="U82" s="708"/>
      <c r="V82" s="708">
        <f t="shared" si="67"/>
        <v>0</v>
      </c>
      <c r="W82" s="708"/>
      <c r="X82" s="708">
        <v>0</v>
      </c>
      <c r="Y82" s="708"/>
      <c r="Z82" s="708">
        <f t="shared" si="68"/>
        <v>0</v>
      </c>
      <c r="AA82" s="708"/>
      <c r="AB82" s="609" t="s">
        <v>1406</v>
      </c>
      <c r="AC82" s="708"/>
      <c r="AD82" s="708">
        <v>0</v>
      </c>
      <c r="AE82" s="708"/>
      <c r="AF82" s="719"/>
      <c r="AG82" s="708"/>
      <c r="AH82" s="708">
        <v>0</v>
      </c>
      <c r="AI82" s="708"/>
      <c r="AJ82" s="609" t="s">
        <v>1407</v>
      </c>
      <c r="AK82" s="708"/>
      <c r="AL82" s="607">
        <f t="shared" si="69"/>
        <v>0</v>
      </c>
      <c r="AM82" s="708"/>
      <c r="AN82" s="607">
        <f t="shared" si="69"/>
        <v>0</v>
      </c>
      <c r="AO82" s="708"/>
      <c r="AP82" s="607">
        <f t="shared" si="69"/>
        <v>0</v>
      </c>
      <c r="AQ82" s="708"/>
      <c r="AR82" s="708">
        <f t="shared" si="64"/>
        <v>0</v>
      </c>
      <c r="AT82" s="708">
        <v>0</v>
      </c>
      <c r="AU82" s="708"/>
      <c r="AV82" s="719"/>
      <c r="AW82" s="708"/>
      <c r="AX82" s="708">
        <v>0</v>
      </c>
      <c r="AY82" s="708"/>
      <c r="AZ82" s="607">
        <f t="shared" si="70"/>
        <v>0</v>
      </c>
      <c r="BA82" s="708"/>
      <c r="BB82" s="607">
        <f t="shared" si="71"/>
        <v>0</v>
      </c>
      <c r="BC82" s="708"/>
      <c r="BD82" s="607">
        <f t="shared" si="72"/>
        <v>0</v>
      </c>
      <c r="BE82" s="708"/>
      <c r="BF82" s="708">
        <f t="shared" si="65"/>
        <v>0</v>
      </c>
      <c r="BG82" s="708"/>
      <c r="BH82" s="708">
        <f t="shared" si="66"/>
        <v>0</v>
      </c>
      <c r="BJ82" s="592">
        <f t="shared" si="62"/>
        <v>440</v>
      </c>
    </row>
    <row r="83" spans="1:62">
      <c r="A83" s="592">
        <f t="shared" si="63"/>
        <v>441</v>
      </c>
      <c r="B83" s="725" t="s">
        <v>1475</v>
      </c>
      <c r="F83" s="711" t="s">
        <v>1404</v>
      </c>
      <c r="H83" s="719"/>
      <c r="J83" s="719"/>
      <c r="K83" s="708"/>
      <c r="L83" s="719"/>
      <c r="M83" s="708"/>
      <c r="N83" s="719"/>
      <c r="O83" s="708"/>
      <c r="R83" s="709" t="s">
        <v>1405</v>
      </c>
      <c r="T83" s="708">
        <v>0</v>
      </c>
      <c r="U83" s="708"/>
      <c r="V83" s="708">
        <f t="shared" si="67"/>
        <v>0</v>
      </c>
      <c r="W83" s="708"/>
      <c r="X83" s="708">
        <v>0</v>
      </c>
      <c r="Y83" s="708"/>
      <c r="Z83" s="708">
        <f t="shared" si="68"/>
        <v>0</v>
      </c>
      <c r="AA83" s="708"/>
      <c r="AB83" s="609" t="s">
        <v>1406</v>
      </c>
      <c r="AC83" s="708"/>
      <c r="AD83" s="708">
        <v>0</v>
      </c>
      <c r="AE83" s="708"/>
      <c r="AF83" s="719"/>
      <c r="AG83" s="708"/>
      <c r="AH83" s="708">
        <v>0</v>
      </c>
      <c r="AI83" s="708"/>
      <c r="AJ83" s="609" t="s">
        <v>1407</v>
      </c>
      <c r="AK83" s="708"/>
      <c r="AL83" s="607">
        <f t="shared" si="69"/>
        <v>0</v>
      </c>
      <c r="AM83" s="708"/>
      <c r="AN83" s="607">
        <f t="shared" si="69"/>
        <v>0</v>
      </c>
      <c r="AO83" s="708"/>
      <c r="AP83" s="607">
        <f t="shared" si="69"/>
        <v>0</v>
      </c>
      <c r="AQ83" s="708"/>
      <c r="AR83" s="708">
        <f t="shared" si="64"/>
        <v>0</v>
      </c>
      <c r="AT83" s="708">
        <v>0</v>
      </c>
      <c r="AU83" s="708"/>
      <c r="AV83" s="719"/>
      <c r="AW83" s="708"/>
      <c r="AX83" s="708">
        <v>0</v>
      </c>
      <c r="AY83" s="708"/>
      <c r="AZ83" s="607">
        <f t="shared" si="70"/>
        <v>0</v>
      </c>
      <c r="BA83" s="708"/>
      <c r="BB83" s="607">
        <f t="shared" si="71"/>
        <v>0</v>
      </c>
      <c r="BC83" s="708"/>
      <c r="BD83" s="607">
        <f t="shared" si="72"/>
        <v>0</v>
      </c>
      <c r="BE83" s="708"/>
      <c r="BF83" s="708">
        <f t="shared" si="65"/>
        <v>0</v>
      </c>
      <c r="BG83" s="708"/>
      <c r="BH83" s="708">
        <f t="shared" si="66"/>
        <v>0</v>
      </c>
      <c r="BJ83" s="592">
        <f t="shared" si="62"/>
        <v>441</v>
      </c>
    </row>
    <row r="84" spans="1:62">
      <c r="A84" s="592">
        <f t="shared" si="63"/>
        <v>442</v>
      </c>
      <c r="B84" s="725" t="s">
        <v>1476</v>
      </c>
      <c r="F84" s="711" t="s">
        <v>1404</v>
      </c>
      <c r="H84" s="719"/>
      <c r="J84" s="719"/>
      <c r="K84" s="708"/>
      <c r="L84" s="719"/>
      <c r="M84" s="708"/>
      <c r="N84" s="719"/>
      <c r="O84" s="708"/>
      <c r="R84" s="709" t="s">
        <v>1405</v>
      </c>
      <c r="T84" s="708">
        <v>0</v>
      </c>
      <c r="U84" s="708"/>
      <c r="V84" s="708">
        <f t="shared" si="67"/>
        <v>0</v>
      </c>
      <c r="W84" s="708"/>
      <c r="X84" s="708">
        <v>0</v>
      </c>
      <c r="Y84" s="708"/>
      <c r="Z84" s="708">
        <f t="shared" si="68"/>
        <v>0</v>
      </c>
      <c r="AA84" s="708"/>
      <c r="AB84" s="609" t="s">
        <v>1406</v>
      </c>
      <c r="AC84" s="708"/>
      <c r="AD84" s="708">
        <v>0</v>
      </c>
      <c r="AE84" s="708"/>
      <c r="AF84" s="719"/>
      <c r="AG84" s="708"/>
      <c r="AH84" s="708">
        <v>0</v>
      </c>
      <c r="AI84" s="708"/>
      <c r="AJ84" s="609" t="s">
        <v>1407</v>
      </c>
      <c r="AK84" s="708"/>
      <c r="AL84" s="607">
        <f t="shared" si="69"/>
        <v>0</v>
      </c>
      <c r="AM84" s="708"/>
      <c r="AN84" s="607">
        <f t="shared" si="69"/>
        <v>0</v>
      </c>
      <c r="AO84" s="708"/>
      <c r="AP84" s="607">
        <f t="shared" si="69"/>
        <v>0</v>
      </c>
      <c r="AQ84" s="708"/>
      <c r="AR84" s="708">
        <f t="shared" si="64"/>
        <v>0</v>
      </c>
      <c r="AT84" s="708">
        <v>0</v>
      </c>
      <c r="AU84" s="708"/>
      <c r="AV84" s="719"/>
      <c r="AW84" s="708"/>
      <c r="AX84" s="708">
        <v>0</v>
      </c>
      <c r="AY84" s="708"/>
      <c r="AZ84" s="607">
        <f t="shared" si="70"/>
        <v>0</v>
      </c>
      <c r="BA84" s="708"/>
      <c r="BB84" s="607">
        <f t="shared" si="71"/>
        <v>0</v>
      </c>
      <c r="BC84" s="708"/>
      <c r="BD84" s="607">
        <f t="shared" si="72"/>
        <v>0</v>
      </c>
      <c r="BE84" s="708"/>
      <c r="BF84" s="708">
        <f t="shared" si="65"/>
        <v>0</v>
      </c>
      <c r="BG84" s="708"/>
      <c r="BH84" s="708">
        <f t="shared" si="66"/>
        <v>0</v>
      </c>
      <c r="BJ84" s="592">
        <f t="shared" si="62"/>
        <v>442</v>
      </c>
    </row>
    <row r="85" spans="1:62">
      <c r="A85" s="592">
        <f t="shared" si="63"/>
        <v>443</v>
      </c>
      <c r="B85" s="725" t="s">
        <v>1477</v>
      </c>
      <c r="F85" s="711" t="s">
        <v>1404</v>
      </c>
      <c r="H85" s="719"/>
      <c r="J85" s="719"/>
      <c r="K85" s="708"/>
      <c r="L85" s="719"/>
      <c r="M85" s="708"/>
      <c r="N85" s="719"/>
      <c r="O85" s="708"/>
      <c r="R85" s="709" t="s">
        <v>1405</v>
      </c>
      <c r="T85" s="708">
        <v>0</v>
      </c>
      <c r="U85" s="708"/>
      <c r="V85" s="708">
        <f t="shared" si="67"/>
        <v>0</v>
      </c>
      <c r="W85" s="708"/>
      <c r="X85" s="708">
        <v>0</v>
      </c>
      <c r="Y85" s="708"/>
      <c r="Z85" s="708">
        <f t="shared" si="68"/>
        <v>0</v>
      </c>
      <c r="AA85" s="708"/>
      <c r="AB85" s="609" t="s">
        <v>1406</v>
      </c>
      <c r="AC85" s="708"/>
      <c r="AD85" s="708">
        <v>0</v>
      </c>
      <c r="AE85" s="708"/>
      <c r="AF85" s="719"/>
      <c r="AG85" s="708"/>
      <c r="AH85" s="708">
        <v>0</v>
      </c>
      <c r="AI85" s="708"/>
      <c r="AJ85" s="609" t="s">
        <v>1407</v>
      </c>
      <c r="AK85" s="708"/>
      <c r="AL85" s="607">
        <f t="shared" si="69"/>
        <v>0</v>
      </c>
      <c r="AM85" s="708"/>
      <c r="AN85" s="607">
        <f t="shared" si="69"/>
        <v>0</v>
      </c>
      <c r="AO85" s="708"/>
      <c r="AP85" s="607">
        <f t="shared" si="69"/>
        <v>0</v>
      </c>
      <c r="AQ85" s="708"/>
      <c r="AR85" s="708">
        <f t="shared" si="64"/>
        <v>0</v>
      </c>
      <c r="AT85" s="708">
        <v>0</v>
      </c>
      <c r="AU85" s="708"/>
      <c r="AV85" s="719"/>
      <c r="AW85" s="708"/>
      <c r="AX85" s="708">
        <v>0</v>
      </c>
      <c r="AY85" s="708"/>
      <c r="AZ85" s="607">
        <f t="shared" si="70"/>
        <v>0</v>
      </c>
      <c r="BA85" s="708"/>
      <c r="BB85" s="607">
        <f t="shared" si="71"/>
        <v>0</v>
      </c>
      <c r="BC85" s="708"/>
      <c r="BD85" s="607">
        <f t="shared" si="72"/>
        <v>0</v>
      </c>
      <c r="BE85" s="708"/>
      <c r="BF85" s="708">
        <f t="shared" si="65"/>
        <v>0</v>
      </c>
      <c r="BG85" s="708"/>
      <c r="BH85" s="708">
        <f t="shared" si="66"/>
        <v>0</v>
      </c>
      <c r="BJ85" s="592">
        <f t="shared" si="62"/>
        <v>443</v>
      </c>
    </row>
    <row r="86" spans="1:62">
      <c r="A86" s="592">
        <f t="shared" si="63"/>
        <v>444</v>
      </c>
      <c r="B86" s="725" t="s">
        <v>1478</v>
      </c>
      <c r="F86" s="711" t="s">
        <v>1404</v>
      </c>
      <c r="H86" s="719"/>
      <c r="J86" s="719"/>
      <c r="K86" s="708"/>
      <c r="L86" s="719"/>
      <c r="M86" s="708"/>
      <c r="N86" s="719"/>
      <c r="O86" s="708"/>
      <c r="R86" s="709" t="s">
        <v>1405</v>
      </c>
      <c r="T86" s="708">
        <v>0</v>
      </c>
      <c r="U86" s="708"/>
      <c r="V86" s="708">
        <f t="shared" si="67"/>
        <v>0</v>
      </c>
      <c r="W86" s="708"/>
      <c r="X86" s="708">
        <v>0</v>
      </c>
      <c r="Y86" s="708"/>
      <c r="Z86" s="708">
        <f t="shared" si="68"/>
        <v>0</v>
      </c>
      <c r="AA86" s="708"/>
      <c r="AB86" s="609" t="s">
        <v>1406</v>
      </c>
      <c r="AC86" s="708"/>
      <c r="AD86" s="708">
        <v>0</v>
      </c>
      <c r="AE86" s="708"/>
      <c r="AF86" s="719"/>
      <c r="AG86" s="708"/>
      <c r="AH86" s="708">
        <v>0</v>
      </c>
      <c r="AI86" s="708"/>
      <c r="AJ86" s="609" t="s">
        <v>1407</v>
      </c>
      <c r="AK86" s="708"/>
      <c r="AL86" s="607">
        <f t="shared" si="69"/>
        <v>0</v>
      </c>
      <c r="AM86" s="708"/>
      <c r="AN86" s="607">
        <f t="shared" si="69"/>
        <v>0</v>
      </c>
      <c r="AO86" s="708"/>
      <c r="AP86" s="607">
        <f t="shared" si="69"/>
        <v>0</v>
      </c>
      <c r="AQ86" s="708"/>
      <c r="AR86" s="708">
        <f t="shared" si="64"/>
        <v>0</v>
      </c>
      <c r="AT86" s="708">
        <v>0</v>
      </c>
      <c r="AU86" s="708"/>
      <c r="AV86" s="719"/>
      <c r="AW86" s="708"/>
      <c r="AX86" s="708">
        <v>0</v>
      </c>
      <c r="AY86" s="708"/>
      <c r="AZ86" s="607">
        <f t="shared" si="70"/>
        <v>0</v>
      </c>
      <c r="BA86" s="708"/>
      <c r="BB86" s="607">
        <f t="shared" si="71"/>
        <v>0</v>
      </c>
      <c r="BC86" s="708"/>
      <c r="BD86" s="607">
        <f t="shared" si="72"/>
        <v>0</v>
      </c>
      <c r="BE86" s="708"/>
      <c r="BF86" s="708">
        <f t="shared" si="65"/>
        <v>0</v>
      </c>
      <c r="BG86" s="708"/>
      <c r="BH86" s="708">
        <f t="shared" si="66"/>
        <v>0</v>
      </c>
      <c r="BJ86" s="592">
        <f t="shared" si="62"/>
        <v>444</v>
      </c>
    </row>
    <row r="87" spans="1:62">
      <c r="A87" s="592">
        <f t="shared" si="63"/>
        <v>445</v>
      </c>
      <c r="B87" s="725" t="s">
        <v>1479</v>
      </c>
      <c r="F87" s="711" t="s">
        <v>1404</v>
      </c>
      <c r="H87" s="719"/>
      <c r="J87" s="719"/>
      <c r="K87" s="708"/>
      <c r="L87" s="719"/>
      <c r="M87" s="708"/>
      <c r="N87" s="719"/>
      <c r="O87" s="708"/>
      <c r="R87" s="709" t="s">
        <v>1405</v>
      </c>
      <c r="T87" s="708">
        <v>0</v>
      </c>
      <c r="U87" s="708"/>
      <c r="V87" s="708">
        <f t="shared" si="67"/>
        <v>0</v>
      </c>
      <c r="W87" s="708"/>
      <c r="X87" s="708">
        <v>0</v>
      </c>
      <c r="Y87" s="708"/>
      <c r="Z87" s="708">
        <f t="shared" si="68"/>
        <v>0</v>
      </c>
      <c r="AA87" s="708"/>
      <c r="AB87" s="609" t="s">
        <v>1406</v>
      </c>
      <c r="AC87" s="708"/>
      <c r="AD87" s="708">
        <v>0</v>
      </c>
      <c r="AE87" s="708"/>
      <c r="AF87" s="719"/>
      <c r="AG87" s="708"/>
      <c r="AH87" s="708">
        <v>0</v>
      </c>
      <c r="AI87" s="708"/>
      <c r="AJ87" s="609" t="s">
        <v>1407</v>
      </c>
      <c r="AK87" s="708"/>
      <c r="AL87" s="607">
        <f t="shared" si="69"/>
        <v>0</v>
      </c>
      <c r="AM87" s="708"/>
      <c r="AN87" s="607">
        <f t="shared" si="69"/>
        <v>0</v>
      </c>
      <c r="AO87" s="708"/>
      <c r="AP87" s="607">
        <f t="shared" si="69"/>
        <v>0</v>
      </c>
      <c r="AQ87" s="708"/>
      <c r="AR87" s="708">
        <f t="shared" si="64"/>
        <v>0</v>
      </c>
      <c r="AT87" s="708">
        <v>0</v>
      </c>
      <c r="AU87" s="708"/>
      <c r="AV87" s="719"/>
      <c r="AW87" s="708"/>
      <c r="AX87" s="708">
        <v>0</v>
      </c>
      <c r="AY87" s="708"/>
      <c r="AZ87" s="607">
        <f t="shared" si="70"/>
        <v>0</v>
      </c>
      <c r="BA87" s="708"/>
      <c r="BB87" s="607">
        <f t="shared" si="71"/>
        <v>0</v>
      </c>
      <c r="BC87" s="708"/>
      <c r="BD87" s="607">
        <f t="shared" si="72"/>
        <v>0</v>
      </c>
      <c r="BE87" s="708"/>
      <c r="BF87" s="708">
        <f t="shared" si="65"/>
        <v>0</v>
      </c>
      <c r="BG87" s="708"/>
      <c r="BH87" s="708">
        <f t="shared" si="66"/>
        <v>0</v>
      </c>
      <c r="BJ87" s="592">
        <f t="shared" si="62"/>
        <v>445</v>
      </c>
    </row>
    <row r="88" spans="1:62">
      <c r="A88" s="592">
        <f t="shared" si="63"/>
        <v>446</v>
      </c>
      <c r="B88" s="725" t="s">
        <v>1480</v>
      </c>
      <c r="F88" s="711" t="s">
        <v>1404</v>
      </c>
      <c r="H88" s="719"/>
      <c r="J88" s="719"/>
      <c r="K88" s="708"/>
      <c r="L88" s="719"/>
      <c r="M88" s="708"/>
      <c r="N88" s="719"/>
      <c r="O88" s="708"/>
      <c r="R88" s="709" t="s">
        <v>1405</v>
      </c>
      <c r="T88" s="708">
        <v>0</v>
      </c>
      <c r="U88" s="708"/>
      <c r="V88" s="708">
        <f t="shared" si="67"/>
        <v>0</v>
      </c>
      <c r="W88" s="708"/>
      <c r="X88" s="708">
        <v>0</v>
      </c>
      <c r="Y88" s="708"/>
      <c r="Z88" s="708">
        <f t="shared" si="68"/>
        <v>0</v>
      </c>
      <c r="AA88" s="708"/>
      <c r="AB88" s="609" t="s">
        <v>1406</v>
      </c>
      <c r="AC88" s="708"/>
      <c r="AD88" s="708">
        <v>0</v>
      </c>
      <c r="AE88" s="708"/>
      <c r="AF88" s="719"/>
      <c r="AG88" s="708"/>
      <c r="AH88" s="708">
        <v>0</v>
      </c>
      <c r="AI88" s="708"/>
      <c r="AJ88" s="609" t="s">
        <v>1407</v>
      </c>
      <c r="AK88" s="708"/>
      <c r="AL88" s="607">
        <f t="shared" si="69"/>
        <v>0</v>
      </c>
      <c r="AM88" s="708"/>
      <c r="AN88" s="607">
        <f t="shared" si="69"/>
        <v>0</v>
      </c>
      <c r="AO88" s="708"/>
      <c r="AP88" s="607">
        <f t="shared" si="69"/>
        <v>0</v>
      </c>
      <c r="AQ88" s="708"/>
      <c r="AR88" s="708">
        <f t="shared" si="64"/>
        <v>0</v>
      </c>
      <c r="AT88" s="708">
        <v>0</v>
      </c>
      <c r="AU88" s="708"/>
      <c r="AV88" s="719"/>
      <c r="AW88" s="708"/>
      <c r="AX88" s="708">
        <v>0</v>
      </c>
      <c r="AY88" s="708"/>
      <c r="AZ88" s="607">
        <f t="shared" si="70"/>
        <v>0</v>
      </c>
      <c r="BA88" s="708"/>
      <c r="BB88" s="607">
        <f t="shared" si="71"/>
        <v>0</v>
      </c>
      <c r="BC88" s="708"/>
      <c r="BD88" s="607">
        <f t="shared" si="72"/>
        <v>0</v>
      </c>
      <c r="BE88" s="708"/>
      <c r="BF88" s="708">
        <f t="shared" si="65"/>
        <v>0</v>
      </c>
      <c r="BG88" s="708"/>
      <c r="BH88" s="708">
        <f t="shared" si="66"/>
        <v>0</v>
      </c>
      <c r="BJ88" s="592">
        <f t="shared" si="62"/>
        <v>446</v>
      </c>
    </row>
    <row r="89" spans="1:62">
      <c r="A89" s="592">
        <f t="shared" si="63"/>
        <v>447</v>
      </c>
      <c r="B89" s="725" t="s">
        <v>1481</v>
      </c>
      <c r="F89" s="711" t="s">
        <v>1404</v>
      </c>
      <c r="H89" s="719"/>
      <c r="J89" s="719"/>
      <c r="K89" s="708"/>
      <c r="L89" s="719"/>
      <c r="M89" s="708"/>
      <c r="N89" s="719"/>
      <c r="O89" s="708"/>
      <c r="R89" s="709" t="s">
        <v>1405</v>
      </c>
      <c r="T89" s="708">
        <v>0</v>
      </c>
      <c r="U89" s="708"/>
      <c r="V89" s="708">
        <f t="shared" si="67"/>
        <v>0</v>
      </c>
      <c r="W89" s="708"/>
      <c r="X89" s="708">
        <v>0</v>
      </c>
      <c r="Y89" s="708"/>
      <c r="Z89" s="708">
        <f t="shared" si="68"/>
        <v>0</v>
      </c>
      <c r="AA89" s="708"/>
      <c r="AB89" s="609" t="s">
        <v>1406</v>
      </c>
      <c r="AC89" s="708"/>
      <c r="AD89" s="708">
        <v>0</v>
      </c>
      <c r="AE89" s="708"/>
      <c r="AF89" s="719"/>
      <c r="AG89" s="708"/>
      <c r="AH89" s="708">
        <v>0</v>
      </c>
      <c r="AI89" s="708"/>
      <c r="AJ89" s="609" t="s">
        <v>1407</v>
      </c>
      <c r="AK89" s="708"/>
      <c r="AL89" s="607">
        <f t="shared" si="69"/>
        <v>0</v>
      </c>
      <c r="AM89" s="708"/>
      <c r="AN89" s="607">
        <f t="shared" si="69"/>
        <v>0</v>
      </c>
      <c r="AO89" s="708"/>
      <c r="AP89" s="607">
        <f t="shared" si="69"/>
        <v>0</v>
      </c>
      <c r="AQ89" s="708"/>
      <c r="AR89" s="708">
        <f t="shared" si="64"/>
        <v>0</v>
      </c>
      <c r="AT89" s="708">
        <v>0</v>
      </c>
      <c r="AU89" s="708"/>
      <c r="AV89" s="719"/>
      <c r="AW89" s="708"/>
      <c r="AX89" s="708">
        <v>0</v>
      </c>
      <c r="AY89" s="708"/>
      <c r="AZ89" s="607">
        <f t="shared" si="70"/>
        <v>0</v>
      </c>
      <c r="BA89" s="708"/>
      <c r="BB89" s="607">
        <f t="shared" si="71"/>
        <v>0</v>
      </c>
      <c r="BC89" s="708"/>
      <c r="BD89" s="607">
        <f t="shared" si="72"/>
        <v>0</v>
      </c>
      <c r="BE89" s="708"/>
      <c r="BF89" s="708">
        <f t="shared" si="65"/>
        <v>0</v>
      </c>
      <c r="BG89" s="708"/>
      <c r="BH89" s="708">
        <f t="shared" si="66"/>
        <v>0</v>
      </c>
      <c r="BJ89" s="592">
        <f t="shared" si="62"/>
        <v>447</v>
      </c>
    </row>
    <row r="90" spans="1:62">
      <c r="A90" s="592">
        <f t="shared" si="63"/>
        <v>448</v>
      </c>
      <c r="B90" s="725" t="s">
        <v>1482</v>
      </c>
      <c r="F90" s="711" t="s">
        <v>1404</v>
      </c>
      <c r="H90" s="719"/>
      <c r="J90" s="719"/>
      <c r="K90" s="708"/>
      <c r="L90" s="719"/>
      <c r="M90" s="708"/>
      <c r="N90" s="719"/>
      <c r="O90" s="708"/>
      <c r="R90" s="709" t="s">
        <v>1405</v>
      </c>
      <c r="T90" s="708">
        <v>0</v>
      </c>
      <c r="U90" s="708"/>
      <c r="V90" s="708">
        <f t="shared" si="67"/>
        <v>0</v>
      </c>
      <c r="W90" s="708"/>
      <c r="X90" s="708">
        <v>0</v>
      </c>
      <c r="Y90" s="708"/>
      <c r="Z90" s="708">
        <f t="shared" si="68"/>
        <v>0</v>
      </c>
      <c r="AA90" s="708"/>
      <c r="AB90" s="609" t="s">
        <v>1406</v>
      </c>
      <c r="AC90" s="708"/>
      <c r="AD90" s="708">
        <v>0</v>
      </c>
      <c r="AE90" s="708"/>
      <c r="AF90" s="719"/>
      <c r="AG90" s="708"/>
      <c r="AH90" s="708">
        <v>0</v>
      </c>
      <c r="AI90" s="708"/>
      <c r="AJ90" s="609" t="s">
        <v>1407</v>
      </c>
      <c r="AK90" s="708"/>
      <c r="AL90" s="607">
        <f t="shared" si="69"/>
        <v>0</v>
      </c>
      <c r="AM90" s="708"/>
      <c r="AN90" s="607">
        <f t="shared" si="69"/>
        <v>0</v>
      </c>
      <c r="AO90" s="708"/>
      <c r="AP90" s="607">
        <f t="shared" si="69"/>
        <v>0</v>
      </c>
      <c r="AQ90" s="708"/>
      <c r="AR90" s="708">
        <f t="shared" si="64"/>
        <v>0</v>
      </c>
      <c r="AT90" s="708">
        <v>0</v>
      </c>
      <c r="AU90" s="708"/>
      <c r="AV90" s="719"/>
      <c r="AW90" s="708"/>
      <c r="AX90" s="708">
        <v>0</v>
      </c>
      <c r="AY90" s="708"/>
      <c r="AZ90" s="607">
        <f t="shared" si="70"/>
        <v>0</v>
      </c>
      <c r="BA90" s="708"/>
      <c r="BB90" s="607">
        <f t="shared" si="71"/>
        <v>0</v>
      </c>
      <c r="BC90" s="708"/>
      <c r="BD90" s="607">
        <f t="shared" si="72"/>
        <v>0</v>
      </c>
      <c r="BE90" s="708"/>
      <c r="BF90" s="708">
        <f t="shared" si="65"/>
        <v>0</v>
      </c>
      <c r="BG90" s="708"/>
      <c r="BH90" s="708">
        <f t="shared" si="66"/>
        <v>0</v>
      </c>
      <c r="BJ90" s="592">
        <f t="shared" si="62"/>
        <v>448</v>
      </c>
    </row>
    <row r="91" spans="1:62">
      <c r="A91" s="592">
        <f t="shared" si="63"/>
        <v>449</v>
      </c>
      <c r="B91" s="725" t="s">
        <v>1483</v>
      </c>
      <c r="F91" s="711" t="s">
        <v>1404</v>
      </c>
      <c r="H91" s="719"/>
      <c r="J91" s="719"/>
      <c r="K91" s="708"/>
      <c r="L91" s="719"/>
      <c r="M91" s="708"/>
      <c r="N91" s="719"/>
      <c r="O91" s="708"/>
      <c r="R91" s="709" t="s">
        <v>1405</v>
      </c>
      <c r="T91" s="708">
        <v>0</v>
      </c>
      <c r="U91" s="708"/>
      <c r="V91" s="708">
        <f t="shared" si="67"/>
        <v>0</v>
      </c>
      <c r="W91" s="708"/>
      <c r="X91" s="708">
        <v>0</v>
      </c>
      <c r="Y91" s="708"/>
      <c r="Z91" s="708">
        <f t="shared" si="68"/>
        <v>0</v>
      </c>
      <c r="AA91" s="708"/>
      <c r="AB91" s="609" t="s">
        <v>1406</v>
      </c>
      <c r="AC91" s="708"/>
      <c r="AD91" s="708">
        <v>0</v>
      </c>
      <c r="AE91" s="708"/>
      <c r="AF91" s="719"/>
      <c r="AG91" s="708"/>
      <c r="AH91" s="708">
        <v>0</v>
      </c>
      <c r="AI91" s="708"/>
      <c r="AJ91" s="609" t="s">
        <v>1407</v>
      </c>
      <c r="AK91" s="708"/>
      <c r="AL91" s="607">
        <f t="shared" si="69"/>
        <v>0</v>
      </c>
      <c r="AM91" s="708"/>
      <c r="AN91" s="607">
        <f t="shared" si="69"/>
        <v>0</v>
      </c>
      <c r="AO91" s="708"/>
      <c r="AP91" s="607">
        <f t="shared" si="69"/>
        <v>0</v>
      </c>
      <c r="AQ91" s="708"/>
      <c r="AR91" s="708">
        <f t="shared" si="64"/>
        <v>0</v>
      </c>
      <c r="AT91" s="708">
        <v>0</v>
      </c>
      <c r="AU91" s="708"/>
      <c r="AV91" s="719"/>
      <c r="AW91" s="708"/>
      <c r="AX91" s="708">
        <v>0</v>
      </c>
      <c r="AY91" s="708"/>
      <c r="AZ91" s="607">
        <f t="shared" si="70"/>
        <v>0</v>
      </c>
      <c r="BA91" s="708"/>
      <c r="BB91" s="607">
        <f t="shared" si="71"/>
        <v>0</v>
      </c>
      <c r="BC91" s="708"/>
      <c r="BD91" s="607">
        <f t="shared" si="72"/>
        <v>0</v>
      </c>
      <c r="BE91" s="708"/>
      <c r="BF91" s="708">
        <f t="shared" si="65"/>
        <v>0</v>
      </c>
      <c r="BG91" s="708"/>
      <c r="BH91" s="708">
        <f t="shared" si="66"/>
        <v>0</v>
      </c>
      <c r="BJ91" s="592">
        <f t="shared" si="62"/>
        <v>449</v>
      </c>
    </row>
    <row r="92" spans="1:62">
      <c r="A92" s="592">
        <f t="shared" si="63"/>
        <v>450</v>
      </c>
      <c r="B92" s="725" t="s">
        <v>1484</v>
      </c>
      <c r="F92" s="711" t="s">
        <v>1404</v>
      </c>
      <c r="H92" s="719"/>
      <c r="J92" s="719"/>
      <c r="K92" s="708"/>
      <c r="L92" s="719"/>
      <c r="M92" s="708"/>
      <c r="N92" s="719"/>
      <c r="O92" s="708"/>
      <c r="R92" s="709" t="s">
        <v>1405</v>
      </c>
      <c r="T92" s="708">
        <v>0</v>
      </c>
      <c r="U92" s="708"/>
      <c r="V92" s="708">
        <f t="shared" si="67"/>
        <v>0</v>
      </c>
      <c r="W92" s="708"/>
      <c r="X92" s="708">
        <v>0</v>
      </c>
      <c r="Y92" s="708"/>
      <c r="Z92" s="708">
        <f t="shared" si="68"/>
        <v>0</v>
      </c>
      <c r="AA92" s="708"/>
      <c r="AB92" s="609" t="s">
        <v>1406</v>
      </c>
      <c r="AC92" s="708"/>
      <c r="AD92" s="708">
        <v>0</v>
      </c>
      <c r="AE92" s="708"/>
      <c r="AF92" s="719"/>
      <c r="AG92" s="708"/>
      <c r="AH92" s="708">
        <v>0</v>
      </c>
      <c r="AI92" s="708"/>
      <c r="AJ92" s="609" t="s">
        <v>1407</v>
      </c>
      <c r="AK92" s="708"/>
      <c r="AL92" s="607">
        <f t="shared" si="69"/>
        <v>0</v>
      </c>
      <c r="AM92" s="708"/>
      <c r="AN92" s="607">
        <f t="shared" si="69"/>
        <v>0</v>
      </c>
      <c r="AO92" s="708"/>
      <c r="AP92" s="607">
        <f t="shared" si="69"/>
        <v>0</v>
      </c>
      <c r="AQ92" s="708"/>
      <c r="AR92" s="708">
        <f t="shared" si="64"/>
        <v>0</v>
      </c>
      <c r="AT92" s="708">
        <v>0</v>
      </c>
      <c r="AU92" s="708"/>
      <c r="AV92" s="719"/>
      <c r="AW92" s="708"/>
      <c r="AX92" s="708">
        <v>0</v>
      </c>
      <c r="AY92" s="708"/>
      <c r="AZ92" s="607">
        <f t="shared" si="70"/>
        <v>0</v>
      </c>
      <c r="BA92" s="708"/>
      <c r="BB92" s="607">
        <f t="shared" si="71"/>
        <v>0</v>
      </c>
      <c r="BC92" s="708"/>
      <c r="BD92" s="607">
        <f t="shared" si="72"/>
        <v>0</v>
      </c>
      <c r="BE92" s="708"/>
      <c r="BF92" s="708">
        <f t="shared" si="65"/>
        <v>0</v>
      </c>
      <c r="BG92" s="708"/>
      <c r="BH92" s="708">
        <f t="shared" si="66"/>
        <v>0</v>
      </c>
      <c r="BJ92" s="592">
        <f t="shared" si="62"/>
        <v>450</v>
      </c>
    </row>
    <row r="93" spans="1:62">
      <c r="A93" s="592">
        <f t="shared" si="63"/>
        <v>451</v>
      </c>
      <c r="B93" s="725" t="s">
        <v>1485</v>
      </c>
      <c r="F93" s="711" t="s">
        <v>1404</v>
      </c>
      <c r="H93" s="719"/>
      <c r="J93" s="719"/>
      <c r="K93" s="708"/>
      <c r="L93" s="719"/>
      <c r="M93" s="708"/>
      <c r="N93" s="719"/>
      <c r="O93" s="708"/>
      <c r="R93" s="709" t="s">
        <v>1405</v>
      </c>
      <c r="T93" s="708">
        <v>0</v>
      </c>
      <c r="U93" s="708"/>
      <c r="V93" s="708">
        <f t="shared" si="67"/>
        <v>0</v>
      </c>
      <c r="W93" s="708"/>
      <c r="X93" s="708">
        <v>0</v>
      </c>
      <c r="Y93" s="708"/>
      <c r="Z93" s="708">
        <f t="shared" si="68"/>
        <v>0</v>
      </c>
      <c r="AA93" s="708"/>
      <c r="AB93" s="609" t="s">
        <v>1406</v>
      </c>
      <c r="AC93" s="708"/>
      <c r="AD93" s="708">
        <v>0</v>
      </c>
      <c r="AE93" s="708"/>
      <c r="AF93" s="719"/>
      <c r="AG93" s="708"/>
      <c r="AH93" s="708">
        <v>0</v>
      </c>
      <c r="AI93" s="708"/>
      <c r="AJ93" s="609" t="s">
        <v>1407</v>
      </c>
      <c r="AK93" s="708"/>
      <c r="AL93" s="607">
        <f t="shared" si="69"/>
        <v>0</v>
      </c>
      <c r="AM93" s="708"/>
      <c r="AN93" s="607">
        <f t="shared" si="69"/>
        <v>0</v>
      </c>
      <c r="AO93" s="708"/>
      <c r="AP93" s="607">
        <f t="shared" si="69"/>
        <v>0</v>
      </c>
      <c r="AQ93" s="708"/>
      <c r="AR93" s="708">
        <f t="shared" si="64"/>
        <v>0</v>
      </c>
      <c r="AT93" s="708">
        <v>0</v>
      </c>
      <c r="AU93" s="708"/>
      <c r="AV93" s="719"/>
      <c r="AW93" s="708"/>
      <c r="AX93" s="708">
        <v>0</v>
      </c>
      <c r="AY93" s="708"/>
      <c r="AZ93" s="607">
        <f t="shared" si="70"/>
        <v>0</v>
      </c>
      <c r="BA93" s="708"/>
      <c r="BB93" s="607">
        <f t="shared" si="71"/>
        <v>0</v>
      </c>
      <c r="BC93" s="708"/>
      <c r="BD93" s="607">
        <f t="shared" si="72"/>
        <v>0</v>
      </c>
      <c r="BE93" s="708"/>
      <c r="BF93" s="708">
        <f t="shared" si="65"/>
        <v>0</v>
      </c>
      <c r="BG93" s="708"/>
      <c r="BH93" s="708">
        <f t="shared" si="66"/>
        <v>0</v>
      </c>
      <c r="BJ93" s="592">
        <f t="shared" si="62"/>
        <v>451</v>
      </c>
    </row>
    <row r="94" spans="1:62">
      <c r="A94" s="592">
        <f t="shared" si="63"/>
        <v>452</v>
      </c>
      <c r="B94" s="725" t="s">
        <v>1486</v>
      </c>
      <c r="F94" s="711" t="s">
        <v>1404</v>
      </c>
      <c r="H94" s="719"/>
      <c r="J94" s="719"/>
      <c r="K94" s="708"/>
      <c r="L94" s="719"/>
      <c r="M94" s="708"/>
      <c r="N94" s="719"/>
      <c r="O94" s="708"/>
      <c r="R94" s="709" t="s">
        <v>1405</v>
      </c>
      <c r="T94" s="708">
        <v>0</v>
      </c>
      <c r="U94" s="708"/>
      <c r="V94" s="708">
        <f t="shared" si="67"/>
        <v>0</v>
      </c>
      <c r="W94" s="708"/>
      <c r="X94" s="708">
        <v>0</v>
      </c>
      <c r="Y94" s="708"/>
      <c r="Z94" s="708">
        <f t="shared" si="68"/>
        <v>0</v>
      </c>
      <c r="AA94" s="708"/>
      <c r="AB94" s="609" t="s">
        <v>1406</v>
      </c>
      <c r="AC94" s="708"/>
      <c r="AD94" s="708">
        <v>0</v>
      </c>
      <c r="AE94" s="708"/>
      <c r="AF94" s="719"/>
      <c r="AG94" s="708"/>
      <c r="AH94" s="708">
        <v>0</v>
      </c>
      <c r="AI94" s="708"/>
      <c r="AJ94" s="609" t="s">
        <v>1407</v>
      </c>
      <c r="AK94" s="708"/>
      <c r="AL94" s="607">
        <f t="shared" si="69"/>
        <v>0</v>
      </c>
      <c r="AM94" s="708"/>
      <c r="AN94" s="607">
        <f t="shared" si="69"/>
        <v>0</v>
      </c>
      <c r="AO94" s="708"/>
      <c r="AP94" s="607">
        <f t="shared" si="69"/>
        <v>0</v>
      </c>
      <c r="AQ94" s="708"/>
      <c r="AR94" s="708">
        <f t="shared" si="64"/>
        <v>0</v>
      </c>
      <c r="AT94" s="708">
        <v>0</v>
      </c>
      <c r="AU94" s="708"/>
      <c r="AV94" s="719"/>
      <c r="AW94" s="708"/>
      <c r="AX94" s="708">
        <v>0</v>
      </c>
      <c r="AY94" s="708"/>
      <c r="AZ94" s="607">
        <f t="shared" si="70"/>
        <v>0</v>
      </c>
      <c r="BA94" s="708"/>
      <c r="BB94" s="607">
        <f t="shared" si="71"/>
        <v>0</v>
      </c>
      <c r="BC94" s="708"/>
      <c r="BD94" s="607">
        <f t="shared" si="72"/>
        <v>0</v>
      </c>
      <c r="BE94" s="708"/>
      <c r="BF94" s="708">
        <f t="shared" si="65"/>
        <v>0</v>
      </c>
      <c r="BG94" s="708"/>
      <c r="BH94" s="708">
        <f t="shared" si="66"/>
        <v>0</v>
      </c>
      <c r="BJ94" s="592">
        <f t="shared" si="62"/>
        <v>452</v>
      </c>
    </row>
    <row r="95" spans="1:62">
      <c r="A95" s="592">
        <f t="shared" si="63"/>
        <v>453</v>
      </c>
      <c r="B95" s="725" t="s">
        <v>1487</v>
      </c>
      <c r="F95" s="711" t="s">
        <v>1404</v>
      </c>
      <c r="H95" s="719"/>
      <c r="J95" s="719"/>
      <c r="K95" s="708"/>
      <c r="L95" s="719"/>
      <c r="M95" s="708"/>
      <c r="N95" s="719"/>
      <c r="O95" s="708"/>
      <c r="R95" s="709" t="s">
        <v>1405</v>
      </c>
      <c r="T95" s="708">
        <v>0</v>
      </c>
      <c r="U95" s="708"/>
      <c r="V95" s="708">
        <f t="shared" si="67"/>
        <v>0</v>
      </c>
      <c r="W95" s="708"/>
      <c r="X95" s="708">
        <v>0</v>
      </c>
      <c r="Y95" s="708"/>
      <c r="Z95" s="708">
        <f t="shared" si="68"/>
        <v>0</v>
      </c>
      <c r="AA95" s="708"/>
      <c r="AB95" s="609" t="s">
        <v>1406</v>
      </c>
      <c r="AC95" s="708"/>
      <c r="AD95" s="708">
        <v>0</v>
      </c>
      <c r="AE95" s="708"/>
      <c r="AF95" s="719"/>
      <c r="AG95" s="708"/>
      <c r="AH95" s="708">
        <v>0</v>
      </c>
      <c r="AI95" s="708"/>
      <c r="AJ95" s="609" t="s">
        <v>1407</v>
      </c>
      <c r="AK95" s="708"/>
      <c r="AL95" s="607">
        <f t="shared" si="69"/>
        <v>0</v>
      </c>
      <c r="AM95" s="708"/>
      <c r="AN95" s="607">
        <f t="shared" si="69"/>
        <v>0</v>
      </c>
      <c r="AO95" s="708"/>
      <c r="AP95" s="607">
        <f t="shared" si="69"/>
        <v>0</v>
      </c>
      <c r="AQ95" s="708"/>
      <c r="AR95" s="708">
        <f t="shared" si="64"/>
        <v>0</v>
      </c>
      <c r="AT95" s="708">
        <v>0</v>
      </c>
      <c r="AU95" s="708"/>
      <c r="AV95" s="719"/>
      <c r="AW95" s="708"/>
      <c r="AX95" s="708">
        <v>0</v>
      </c>
      <c r="AY95" s="708"/>
      <c r="AZ95" s="607">
        <f t="shared" si="70"/>
        <v>0</v>
      </c>
      <c r="BA95" s="708"/>
      <c r="BB95" s="607">
        <f t="shared" si="71"/>
        <v>0</v>
      </c>
      <c r="BC95" s="708"/>
      <c r="BD95" s="607">
        <f t="shared" si="72"/>
        <v>0</v>
      </c>
      <c r="BE95" s="708"/>
      <c r="BF95" s="708">
        <f t="shared" si="65"/>
        <v>0</v>
      </c>
      <c r="BG95" s="708"/>
      <c r="BH95" s="708">
        <f t="shared" si="66"/>
        <v>0</v>
      </c>
      <c r="BJ95" s="592">
        <f t="shared" si="62"/>
        <v>453</v>
      </c>
    </row>
    <row r="96" spans="1:62">
      <c r="A96" s="592">
        <f t="shared" si="63"/>
        <v>454</v>
      </c>
      <c r="B96" s="725" t="s">
        <v>1488</v>
      </c>
      <c r="F96" s="711" t="s">
        <v>1404</v>
      </c>
      <c r="H96" s="719"/>
      <c r="J96" s="719"/>
      <c r="K96" s="708"/>
      <c r="L96" s="719"/>
      <c r="M96" s="708"/>
      <c r="N96" s="719"/>
      <c r="O96" s="708"/>
      <c r="R96" s="709" t="s">
        <v>1405</v>
      </c>
      <c r="T96" s="708">
        <v>0</v>
      </c>
      <c r="U96" s="708"/>
      <c r="V96" s="708">
        <f t="shared" si="67"/>
        <v>0</v>
      </c>
      <c r="W96" s="708"/>
      <c r="X96" s="708">
        <v>0</v>
      </c>
      <c r="Y96" s="708"/>
      <c r="Z96" s="708">
        <f t="shared" si="68"/>
        <v>0</v>
      </c>
      <c r="AA96" s="708"/>
      <c r="AB96" s="609" t="s">
        <v>1406</v>
      </c>
      <c r="AC96" s="708"/>
      <c r="AD96" s="708">
        <v>0</v>
      </c>
      <c r="AE96" s="708"/>
      <c r="AF96" s="719"/>
      <c r="AG96" s="708"/>
      <c r="AH96" s="708">
        <v>0</v>
      </c>
      <c r="AI96" s="708"/>
      <c r="AJ96" s="609" t="s">
        <v>1407</v>
      </c>
      <c r="AK96" s="708"/>
      <c r="AL96" s="607">
        <f t="shared" si="69"/>
        <v>0</v>
      </c>
      <c r="AM96" s="708"/>
      <c r="AN96" s="607">
        <f t="shared" si="69"/>
        <v>0</v>
      </c>
      <c r="AO96" s="708"/>
      <c r="AP96" s="607">
        <f t="shared" si="69"/>
        <v>0</v>
      </c>
      <c r="AQ96" s="708"/>
      <c r="AR96" s="708">
        <f t="shared" si="64"/>
        <v>0</v>
      </c>
      <c r="AT96" s="708">
        <v>0</v>
      </c>
      <c r="AU96" s="708"/>
      <c r="AV96" s="719"/>
      <c r="AW96" s="708"/>
      <c r="AX96" s="708">
        <v>0</v>
      </c>
      <c r="AY96" s="708"/>
      <c r="AZ96" s="607">
        <f t="shared" si="70"/>
        <v>0</v>
      </c>
      <c r="BA96" s="708"/>
      <c r="BB96" s="607">
        <f t="shared" si="71"/>
        <v>0</v>
      </c>
      <c r="BC96" s="708"/>
      <c r="BD96" s="607">
        <f t="shared" si="72"/>
        <v>0</v>
      </c>
      <c r="BE96" s="708"/>
      <c r="BF96" s="708">
        <f t="shared" si="65"/>
        <v>0</v>
      </c>
      <c r="BG96" s="708"/>
      <c r="BH96" s="708">
        <f t="shared" si="66"/>
        <v>0</v>
      </c>
      <c r="BJ96" s="592">
        <f t="shared" si="62"/>
        <v>454</v>
      </c>
    </row>
    <row r="97" spans="1:62">
      <c r="A97" s="592">
        <f t="shared" si="63"/>
        <v>455</v>
      </c>
      <c r="B97" s="725" t="s">
        <v>1489</v>
      </c>
      <c r="F97" s="711" t="s">
        <v>1404</v>
      </c>
      <c r="H97" s="719"/>
      <c r="J97" s="719"/>
      <c r="K97" s="708"/>
      <c r="L97" s="719"/>
      <c r="M97" s="708"/>
      <c r="N97" s="719"/>
      <c r="O97" s="708"/>
      <c r="R97" s="709" t="s">
        <v>1405</v>
      </c>
      <c r="T97" s="708">
        <v>0</v>
      </c>
      <c r="U97" s="708"/>
      <c r="V97" s="708">
        <f t="shared" si="67"/>
        <v>0</v>
      </c>
      <c r="W97" s="708"/>
      <c r="X97" s="708">
        <v>0</v>
      </c>
      <c r="Y97" s="708"/>
      <c r="Z97" s="708">
        <f t="shared" si="68"/>
        <v>0</v>
      </c>
      <c r="AA97" s="708"/>
      <c r="AB97" s="609" t="s">
        <v>1406</v>
      </c>
      <c r="AC97" s="708"/>
      <c r="AD97" s="708">
        <v>0</v>
      </c>
      <c r="AE97" s="708"/>
      <c r="AF97" s="719"/>
      <c r="AG97" s="708"/>
      <c r="AH97" s="708">
        <v>0</v>
      </c>
      <c r="AI97" s="708"/>
      <c r="AJ97" s="609" t="s">
        <v>1407</v>
      </c>
      <c r="AK97" s="708"/>
      <c r="AL97" s="607">
        <f t="shared" si="69"/>
        <v>0</v>
      </c>
      <c r="AM97" s="708"/>
      <c r="AN97" s="607">
        <f t="shared" si="69"/>
        <v>0</v>
      </c>
      <c r="AO97" s="708"/>
      <c r="AP97" s="607">
        <f t="shared" si="69"/>
        <v>0</v>
      </c>
      <c r="AQ97" s="708"/>
      <c r="AR97" s="708">
        <f t="shared" si="64"/>
        <v>0</v>
      </c>
      <c r="AT97" s="708">
        <v>0</v>
      </c>
      <c r="AU97" s="708"/>
      <c r="AV97" s="719"/>
      <c r="AW97" s="708"/>
      <c r="AX97" s="708">
        <v>0</v>
      </c>
      <c r="AY97" s="708"/>
      <c r="AZ97" s="607">
        <f t="shared" si="70"/>
        <v>0</v>
      </c>
      <c r="BA97" s="708"/>
      <c r="BB97" s="607">
        <f t="shared" si="71"/>
        <v>0</v>
      </c>
      <c r="BC97" s="708"/>
      <c r="BD97" s="607">
        <f t="shared" si="72"/>
        <v>0</v>
      </c>
      <c r="BE97" s="708"/>
      <c r="BF97" s="708">
        <f t="shared" si="65"/>
        <v>0</v>
      </c>
      <c r="BG97" s="708"/>
      <c r="BH97" s="708">
        <f t="shared" si="66"/>
        <v>0</v>
      </c>
      <c r="BJ97" s="592">
        <f t="shared" si="62"/>
        <v>455</v>
      </c>
    </row>
    <row r="98" spans="1:62">
      <c r="A98" s="592">
        <f t="shared" si="63"/>
        <v>456</v>
      </c>
      <c r="B98" s="726" t="s">
        <v>127</v>
      </c>
      <c r="H98" s="719"/>
      <c r="J98" s="719"/>
      <c r="K98" s="708"/>
      <c r="L98" s="719"/>
      <c r="M98" s="708"/>
      <c r="N98" s="719"/>
      <c r="O98" s="708"/>
      <c r="R98" s="710"/>
      <c r="T98" s="708">
        <v>0</v>
      </c>
      <c r="U98" s="708"/>
      <c r="V98" s="708">
        <f t="shared" si="67"/>
        <v>0</v>
      </c>
      <c r="W98" s="708"/>
      <c r="X98" s="708">
        <v>0</v>
      </c>
      <c r="Y98" s="708"/>
      <c r="Z98" s="708">
        <f t="shared" si="68"/>
        <v>0</v>
      </c>
      <c r="AA98" s="708"/>
      <c r="AB98" s="609"/>
      <c r="AC98" s="708"/>
      <c r="AD98" s="708">
        <v>0</v>
      </c>
      <c r="AE98" s="708"/>
      <c r="AF98" s="719"/>
      <c r="AG98" s="708"/>
      <c r="AH98" s="708">
        <v>0</v>
      </c>
      <c r="AI98" s="708"/>
      <c r="AJ98" s="708"/>
      <c r="AK98" s="708"/>
      <c r="AL98" s="607">
        <f t="shared" si="69"/>
        <v>0</v>
      </c>
      <c r="AM98" s="708"/>
      <c r="AN98" s="607">
        <f t="shared" si="69"/>
        <v>0</v>
      </c>
      <c r="AO98" s="708"/>
      <c r="AP98" s="607">
        <f t="shared" si="69"/>
        <v>0</v>
      </c>
      <c r="AQ98" s="708"/>
      <c r="AR98" s="708">
        <f t="shared" si="64"/>
        <v>0</v>
      </c>
      <c r="AT98" s="708">
        <v>0</v>
      </c>
      <c r="AU98" s="708"/>
      <c r="AV98" s="719"/>
      <c r="AW98" s="708"/>
      <c r="AX98" s="708">
        <v>0</v>
      </c>
      <c r="AY98" s="708"/>
      <c r="AZ98" s="607">
        <f t="shared" si="70"/>
        <v>0</v>
      </c>
      <c r="BA98" s="708"/>
      <c r="BB98" s="607">
        <f t="shared" si="71"/>
        <v>0</v>
      </c>
      <c r="BC98" s="708"/>
      <c r="BD98" s="607">
        <f t="shared" si="72"/>
        <v>0</v>
      </c>
      <c r="BE98" s="708"/>
      <c r="BF98" s="708">
        <f t="shared" si="65"/>
        <v>0</v>
      </c>
      <c r="BG98" s="708"/>
      <c r="BH98" s="708">
        <f t="shared" si="66"/>
        <v>0</v>
      </c>
      <c r="BJ98" s="592">
        <f t="shared" si="62"/>
        <v>456</v>
      </c>
    </row>
    <row r="99" spans="1:62">
      <c r="A99" s="592">
        <f t="shared" si="63"/>
        <v>457</v>
      </c>
      <c r="B99" s="726" t="s">
        <v>127</v>
      </c>
      <c r="H99" s="719"/>
      <c r="J99" s="719"/>
      <c r="K99" s="708"/>
      <c r="L99" s="719"/>
      <c r="M99" s="708"/>
      <c r="N99" s="719"/>
      <c r="O99" s="708"/>
      <c r="R99" s="710"/>
      <c r="T99" s="708">
        <v>0</v>
      </c>
      <c r="U99" s="708"/>
      <c r="V99" s="708">
        <f t="shared" si="67"/>
        <v>0</v>
      </c>
      <c r="W99" s="708"/>
      <c r="X99" s="708">
        <v>0</v>
      </c>
      <c r="Y99" s="708"/>
      <c r="Z99" s="708">
        <f t="shared" si="68"/>
        <v>0</v>
      </c>
      <c r="AA99" s="708"/>
      <c r="AB99" s="609"/>
      <c r="AC99" s="708"/>
      <c r="AD99" s="708">
        <v>0</v>
      </c>
      <c r="AE99" s="708"/>
      <c r="AF99" s="719"/>
      <c r="AG99" s="708"/>
      <c r="AH99" s="708">
        <v>0</v>
      </c>
      <c r="AI99" s="708"/>
      <c r="AJ99" s="708"/>
      <c r="AK99" s="708"/>
      <c r="AL99" s="607">
        <f t="shared" si="69"/>
        <v>0</v>
      </c>
      <c r="AM99" s="708"/>
      <c r="AN99" s="607">
        <f t="shared" si="69"/>
        <v>0</v>
      </c>
      <c r="AO99" s="708"/>
      <c r="AP99" s="607">
        <f t="shared" si="69"/>
        <v>0</v>
      </c>
      <c r="AQ99" s="708"/>
      <c r="AR99" s="708">
        <f t="shared" si="64"/>
        <v>0</v>
      </c>
      <c r="AT99" s="708">
        <v>0</v>
      </c>
      <c r="AU99" s="708"/>
      <c r="AV99" s="719"/>
      <c r="AW99" s="708"/>
      <c r="AX99" s="708">
        <v>0</v>
      </c>
      <c r="AY99" s="708"/>
      <c r="AZ99" s="607">
        <f t="shared" si="70"/>
        <v>0</v>
      </c>
      <c r="BA99" s="708"/>
      <c r="BB99" s="607">
        <f t="shared" si="71"/>
        <v>0</v>
      </c>
      <c r="BC99" s="708"/>
      <c r="BD99" s="607">
        <f t="shared" si="72"/>
        <v>0</v>
      </c>
      <c r="BE99" s="708"/>
      <c r="BF99" s="708">
        <f t="shared" si="65"/>
        <v>0</v>
      </c>
      <c r="BG99" s="708"/>
      <c r="BH99" s="708">
        <f t="shared" si="66"/>
        <v>0</v>
      </c>
      <c r="BJ99" s="592">
        <f t="shared" si="62"/>
        <v>457</v>
      </c>
    </row>
    <row r="100" spans="1:62">
      <c r="A100" s="592"/>
      <c r="B100" s="702"/>
      <c r="H100" s="708"/>
      <c r="J100" s="708"/>
      <c r="K100" s="708"/>
      <c r="L100" s="708"/>
      <c r="M100" s="708"/>
      <c r="N100" s="708"/>
      <c r="O100" s="708"/>
      <c r="R100" s="710"/>
      <c r="T100" s="708"/>
      <c r="U100" s="708"/>
      <c r="V100" s="708"/>
      <c r="W100" s="708"/>
      <c r="X100" s="708"/>
      <c r="Y100" s="708"/>
      <c r="Z100" s="708"/>
      <c r="AA100" s="708"/>
      <c r="AB100" s="609"/>
      <c r="AC100" s="708"/>
      <c r="AD100" s="708"/>
      <c r="AE100" s="708"/>
      <c r="AF100" s="708"/>
      <c r="AG100" s="708"/>
      <c r="AH100" s="708"/>
      <c r="AI100" s="708"/>
      <c r="AJ100" s="708"/>
      <c r="AK100" s="708"/>
      <c r="AL100" s="708"/>
      <c r="AM100" s="708"/>
      <c r="AN100" s="708"/>
      <c r="AO100" s="708"/>
      <c r="AP100" s="708"/>
      <c r="AQ100" s="708"/>
      <c r="AR100" s="708"/>
      <c r="AT100" s="708"/>
      <c r="AU100" s="708"/>
      <c r="AV100" s="708"/>
      <c r="AW100" s="708"/>
      <c r="AX100" s="708"/>
      <c r="AY100" s="708"/>
      <c r="AZ100" s="708"/>
      <c r="BA100" s="708"/>
      <c r="BB100" s="708"/>
      <c r="BC100" s="708"/>
      <c r="BD100" s="708"/>
      <c r="BE100" s="708"/>
      <c r="BF100" s="708"/>
      <c r="BG100" s="708"/>
      <c r="BH100" s="708"/>
      <c r="BJ100" s="592"/>
    </row>
    <row r="101" spans="1:62">
      <c r="A101" s="324" t="s">
        <v>100</v>
      </c>
      <c r="R101" s="710"/>
      <c r="Z101" s="708"/>
      <c r="AB101" s="711"/>
      <c r="BJ101" s="722" t="s">
        <v>100</v>
      </c>
    </row>
    <row r="102" spans="1:62">
      <c r="A102" s="592">
        <v>500</v>
      </c>
      <c r="B102" s="699" t="s">
        <v>1490</v>
      </c>
      <c r="H102" s="717">
        <f>ROUND(SUM(H103:H112),0)</f>
        <v>0</v>
      </c>
      <c r="J102" s="717">
        <f>ROUND(SUM(J103:J112),0)</f>
        <v>0</v>
      </c>
      <c r="K102" s="708"/>
      <c r="L102" s="717">
        <f>ROUND(SUM(L103:L112),0)</f>
        <v>0</v>
      </c>
      <c r="M102" s="708"/>
      <c r="N102" s="717">
        <f>ROUND(SUM(N103:N112),0)</f>
        <v>0</v>
      </c>
      <c r="O102" s="708"/>
      <c r="Q102" s="592"/>
      <c r="R102" s="710"/>
      <c r="S102" s="592"/>
      <c r="T102" s="717">
        <f>ROUND(SUM(T103:T112),0)</f>
        <v>0</v>
      </c>
      <c r="U102" s="708"/>
      <c r="V102" s="717">
        <f>ROUND(SUM(V103:V112),0)</f>
        <v>0</v>
      </c>
      <c r="W102" s="708"/>
      <c r="X102" s="717">
        <f>ROUND(SUM(X103:X112),0)</f>
        <v>0</v>
      </c>
      <c r="Y102" s="708"/>
      <c r="Z102" s="717">
        <f>ROUND(SUM(Z103:Z112),0)</f>
        <v>0</v>
      </c>
      <c r="AA102" s="708"/>
      <c r="AB102" s="609"/>
      <c r="AC102" s="708"/>
      <c r="AD102" s="717">
        <f>SUM(AD103:AD112)</f>
        <v>0</v>
      </c>
      <c r="AE102" s="708"/>
      <c r="AF102" s="717">
        <f>SUM(AF103:AF112)</f>
        <v>0</v>
      </c>
      <c r="AG102" s="708"/>
      <c r="AH102" s="717">
        <f>SUM(AH103:AH112)</f>
        <v>0</v>
      </c>
      <c r="AI102" s="708"/>
      <c r="AJ102" s="708"/>
      <c r="AK102" s="708"/>
      <c r="AL102" s="717">
        <f>SUM(AL103:AL112)</f>
        <v>0</v>
      </c>
      <c r="AM102" s="708"/>
      <c r="AN102" s="717">
        <f>SUM(AN103:AN112)</f>
        <v>0</v>
      </c>
      <c r="AO102" s="708"/>
      <c r="AP102" s="717">
        <f>SUM(AP103:AP112)</f>
        <v>0</v>
      </c>
      <c r="AQ102" s="708"/>
      <c r="AR102" s="717">
        <f>SUM(AR103:AR112)</f>
        <v>0</v>
      </c>
      <c r="AT102" s="717">
        <f>SUM(AT103:AT112)</f>
        <v>0</v>
      </c>
      <c r="AU102" s="708"/>
      <c r="AV102" s="717">
        <f>SUM(AV103:AV112)</f>
        <v>0</v>
      </c>
      <c r="AW102" s="708"/>
      <c r="AX102" s="717">
        <f>SUM(AX103:AX112)</f>
        <v>0</v>
      </c>
      <c r="AY102" s="708"/>
      <c r="AZ102" s="717">
        <f>SUM(AZ103:AZ112)</f>
        <v>0</v>
      </c>
      <c r="BA102" s="708"/>
      <c r="BB102" s="717">
        <f>SUM(BB103:BB112)</f>
        <v>0</v>
      </c>
      <c r="BC102" s="708"/>
      <c r="BD102" s="717">
        <f>SUM(BD103:BD112)</f>
        <v>0</v>
      </c>
      <c r="BE102" s="708"/>
      <c r="BF102" s="717">
        <f>SUM(BF103:BF112)</f>
        <v>0</v>
      </c>
      <c r="BG102" s="708"/>
      <c r="BH102" s="717">
        <f>ROUND(SUM(BH103:BH112),0)</f>
        <v>0</v>
      </c>
      <c r="BJ102" s="592">
        <f t="shared" ref="BJ102:BJ112" si="73">A102</f>
        <v>500</v>
      </c>
    </row>
    <row r="103" spans="1:62">
      <c r="A103" s="592">
        <f t="shared" ref="A103:A106" si="74">A102+1</f>
        <v>501</v>
      </c>
      <c r="B103" s="637" t="s">
        <v>1491</v>
      </c>
      <c r="F103" s="702" t="s">
        <v>1420</v>
      </c>
      <c r="H103" s="719"/>
      <c r="J103" s="719"/>
      <c r="K103" s="708"/>
      <c r="L103" s="719"/>
      <c r="M103" s="708"/>
      <c r="N103" s="719"/>
      <c r="O103" s="708"/>
      <c r="R103" s="709" t="s">
        <v>1415</v>
      </c>
      <c r="T103" s="708">
        <v>0</v>
      </c>
      <c r="U103" s="708"/>
      <c r="V103" s="708">
        <v>0</v>
      </c>
      <c r="W103" s="708"/>
      <c r="X103" s="708">
        <f>+N103</f>
        <v>0</v>
      </c>
      <c r="Y103" s="708"/>
      <c r="Z103" s="708">
        <f t="shared" si="68"/>
        <v>0</v>
      </c>
      <c r="AA103" s="708"/>
      <c r="AB103" s="609" t="s">
        <v>1492</v>
      </c>
      <c r="AC103" s="708"/>
      <c r="AD103" s="708">
        <v>0</v>
      </c>
      <c r="AE103" s="708"/>
      <c r="AF103" s="708">
        <v>0</v>
      </c>
      <c r="AG103" s="708"/>
      <c r="AH103" s="719"/>
      <c r="AI103" s="708"/>
      <c r="AJ103" s="609" t="s">
        <v>1416</v>
      </c>
      <c r="AK103" s="708"/>
      <c r="AL103" s="607">
        <f>+T103-AD103</f>
        <v>0</v>
      </c>
      <c r="AM103" s="708"/>
      <c r="AN103" s="607">
        <f>+V103-AF103</f>
        <v>0</v>
      </c>
      <c r="AO103" s="708"/>
      <c r="AP103" s="607">
        <f>+X103-AH103</f>
        <v>0</v>
      </c>
      <c r="AQ103" s="708"/>
      <c r="AR103" s="708">
        <f t="shared" ref="AR103:AR112" si="75">SUM(AL103:AP103)</f>
        <v>0</v>
      </c>
      <c r="AT103" s="708">
        <v>0</v>
      </c>
      <c r="AU103" s="708"/>
      <c r="AV103" s="708">
        <v>0</v>
      </c>
      <c r="AW103" s="708"/>
      <c r="AX103" s="719"/>
      <c r="AY103" s="708"/>
      <c r="AZ103" s="607">
        <f>+AL103-AT103</f>
        <v>0</v>
      </c>
      <c r="BA103" s="708"/>
      <c r="BB103" s="607">
        <f>+AN103-AV103</f>
        <v>0</v>
      </c>
      <c r="BC103" s="708"/>
      <c r="BD103" s="607">
        <f>+AP103-AX103</f>
        <v>0</v>
      </c>
      <c r="BE103" s="708"/>
      <c r="BF103" s="708">
        <f>SUM(AZ103:BD103)</f>
        <v>0</v>
      </c>
      <c r="BG103" s="708"/>
      <c r="BH103" s="708">
        <f t="shared" ref="BH103:BH110" si="76">+BF103*$BH$9</f>
        <v>0</v>
      </c>
      <c r="BJ103" s="592">
        <f t="shared" si="73"/>
        <v>501</v>
      </c>
    </row>
    <row r="104" spans="1:62">
      <c r="A104" s="592">
        <f t="shared" si="74"/>
        <v>502</v>
      </c>
      <c r="B104" s="637" t="s">
        <v>1127</v>
      </c>
      <c r="F104" s="702" t="s">
        <v>1420</v>
      </c>
      <c r="H104" s="719"/>
      <c r="J104" s="719"/>
      <c r="K104" s="708"/>
      <c r="L104" s="719"/>
      <c r="M104" s="708"/>
      <c r="N104" s="719"/>
      <c r="O104" s="708"/>
      <c r="R104" s="709" t="s">
        <v>1415</v>
      </c>
      <c r="T104" s="708">
        <v>0</v>
      </c>
      <c r="U104" s="708"/>
      <c r="V104" s="708">
        <v>0</v>
      </c>
      <c r="W104" s="708"/>
      <c r="X104" s="708">
        <f>+N104</f>
        <v>0</v>
      </c>
      <c r="Y104" s="708"/>
      <c r="Z104" s="708">
        <f t="shared" si="68"/>
        <v>0</v>
      </c>
      <c r="AA104" s="708"/>
      <c r="AB104" s="609" t="s">
        <v>1492</v>
      </c>
      <c r="AC104" s="708"/>
      <c r="AD104" s="708">
        <v>0</v>
      </c>
      <c r="AE104" s="708"/>
      <c r="AF104" s="708">
        <v>0</v>
      </c>
      <c r="AG104" s="708"/>
      <c r="AH104" s="719"/>
      <c r="AI104" s="708"/>
      <c r="AJ104" s="609" t="s">
        <v>1416</v>
      </c>
      <c r="AK104" s="708"/>
      <c r="AL104" s="607">
        <f t="shared" ref="AL104:AP112" si="77">+T104-AD104</f>
        <v>0</v>
      </c>
      <c r="AM104" s="708"/>
      <c r="AN104" s="607">
        <f t="shared" si="77"/>
        <v>0</v>
      </c>
      <c r="AO104" s="708"/>
      <c r="AP104" s="607">
        <f t="shared" si="77"/>
        <v>0</v>
      </c>
      <c r="AQ104" s="708"/>
      <c r="AR104" s="708">
        <f t="shared" si="75"/>
        <v>0</v>
      </c>
      <c r="AT104" s="708">
        <v>0</v>
      </c>
      <c r="AU104" s="708"/>
      <c r="AV104" s="708">
        <v>0</v>
      </c>
      <c r="AW104" s="708"/>
      <c r="AX104" s="719"/>
      <c r="AY104" s="708"/>
      <c r="AZ104" s="607">
        <f t="shared" ref="AZ104:BD112" si="78">+AL104-AT104</f>
        <v>0</v>
      </c>
      <c r="BA104" s="708"/>
      <c r="BB104" s="607">
        <f t="shared" si="78"/>
        <v>0</v>
      </c>
      <c r="BC104" s="708"/>
      <c r="BD104" s="607">
        <f t="shared" si="78"/>
        <v>0</v>
      </c>
      <c r="BE104" s="708"/>
      <c r="BF104" s="708">
        <f t="shared" ref="BF104:BF112" si="79">SUM(AZ104:BD104)</f>
        <v>0</v>
      </c>
      <c r="BG104" s="708"/>
      <c r="BH104" s="708">
        <f t="shared" si="76"/>
        <v>0</v>
      </c>
      <c r="BJ104" s="592">
        <f t="shared" si="73"/>
        <v>502</v>
      </c>
    </row>
    <row r="105" spans="1:62">
      <c r="A105" s="592">
        <f t="shared" si="74"/>
        <v>503</v>
      </c>
      <c r="B105" s="725" t="s">
        <v>1495</v>
      </c>
      <c r="F105" s="702" t="s">
        <v>1404</v>
      </c>
      <c r="H105" s="719"/>
      <c r="J105" s="719"/>
      <c r="K105" s="708"/>
      <c r="L105" s="719"/>
      <c r="M105" s="708"/>
      <c r="N105" s="719"/>
      <c r="O105" s="708"/>
      <c r="R105" s="709" t="s">
        <v>1405</v>
      </c>
      <c r="T105" s="708">
        <v>0</v>
      </c>
      <c r="U105" s="708"/>
      <c r="V105" s="708">
        <v>0</v>
      </c>
      <c r="W105" s="708"/>
      <c r="X105" s="708">
        <f>N105</f>
        <v>0</v>
      </c>
      <c r="Y105" s="708"/>
      <c r="Z105" s="708">
        <f>SUM(T105:X105)</f>
        <v>0</v>
      </c>
      <c r="AA105" s="708"/>
      <c r="AB105" s="609" t="s">
        <v>1492</v>
      </c>
      <c r="AC105" s="708"/>
      <c r="AD105" s="708">
        <v>0</v>
      </c>
      <c r="AE105" s="708"/>
      <c r="AF105" s="708">
        <v>0</v>
      </c>
      <c r="AG105" s="708"/>
      <c r="AH105" s="719"/>
      <c r="AI105" s="708"/>
      <c r="AJ105" s="609" t="s">
        <v>1407</v>
      </c>
      <c r="AK105" s="708"/>
      <c r="AL105" s="607">
        <f t="shared" si="77"/>
        <v>0</v>
      </c>
      <c r="AM105" s="708"/>
      <c r="AN105" s="607">
        <f t="shared" si="77"/>
        <v>0</v>
      </c>
      <c r="AO105" s="708"/>
      <c r="AP105" s="607">
        <f t="shared" si="77"/>
        <v>0</v>
      </c>
      <c r="AQ105" s="708"/>
      <c r="AR105" s="708">
        <f t="shared" si="75"/>
        <v>0</v>
      </c>
      <c r="AT105" s="708">
        <v>0</v>
      </c>
      <c r="AU105" s="708"/>
      <c r="AV105" s="708">
        <v>0</v>
      </c>
      <c r="AW105" s="708"/>
      <c r="AX105" s="719"/>
      <c r="AY105" s="708"/>
      <c r="AZ105" s="607">
        <f t="shared" si="78"/>
        <v>0</v>
      </c>
      <c r="BA105" s="708"/>
      <c r="BB105" s="607">
        <f t="shared" si="78"/>
        <v>0</v>
      </c>
      <c r="BC105" s="708"/>
      <c r="BD105" s="607">
        <f t="shared" si="78"/>
        <v>0</v>
      </c>
      <c r="BE105" s="708"/>
      <c r="BF105" s="708">
        <f t="shared" si="79"/>
        <v>0</v>
      </c>
      <c r="BG105" s="708"/>
      <c r="BH105" s="708">
        <f t="shared" si="76"/>
        <v>0</v>
      </c>
      <c r="BJ105" s="592">
        <f t="shared" si="73"/>
        <v>503</v>
      </c>
    </row>
    <row r="106" spans="1:62">
      <c r="A106" s="592">
        <f t="shared" si="74"/>
        <v>504</v>
      </c>
      <c r="B106" s="725" t="s">
        <v>1496</v>
      </c>
      <c r="F106" s="711" t="s">
        <v>1404</v>
      </c>
      <c r="H106" s="719"/>
      <c r="J106" s="719"/>
      <c r="K106" s="708"/>
      <c r="L106" s="719"/>
      <c r="M106" s="708"/>
      <c r="N106" s="719"/>
      <c r="O106" s="708"/>
      <c r="R106" s="709" t="s">
        <v>1405</v>
      </c>
      <c r="T106" s="708">
        <v>0</v>
      </c>
      <c r="U106" s="708"/>
      <c r="V106" s="708">
        <v>0</v>
      </c>
      <c r="W106" s="708"/>
      <c r="X106" s="708">
        <f>N106</f>
        <v>0</v>
      </c>
      <c r="Y106" s="708"/>
      <c r="Z106" s="708">
        <f>SUM(T106:X106)</f>
        <v>0</v>
      </c>
      <c r="AA106" s="708"/>
      <c r="AB106" s="609" t="s">
        <v>1492</v>
      </c>
      <c r="AC106" s="708"/>
      <c r="AD106" s="708">
        <v>0</v>
      </c>
      <c r="AE106" s="708"/>
      <c r="AF106" s="708">
        <v>0</v>
      </c>
      <c r="AG106" s="708"/>
      <c r="AH106" s="719"/>
      <c r="AI106" s="708"/>
      <c r="AJ106" s="609" t="s">
        <v>1407</v>
      </c>
      <c r="AK106" s="708"/>
      <c r="AL106" s="607">
        <f t="shared" si="77"/>
        <v>0</v>
      </c>
      <c r="AM106" s="708"/>
      <c r="AN106" s="607">
        <f t="shared" si="77"/>
        <v>0</v>
      </c>
      <c r="AO106" s="708"/>
      <c r="AP106" s="607">
        <f t="shared" si="77"/>
        <v>0</v>
      </c>
      <c r="AQ106" s="708"/>
      <c r="AR106" s="708">
        <f t="shared" si="75"/>
        <v>0</v>
      </c>
      <c r="AT106" s="708">
        <v>0</v>
      </c>
      <c r="AU106" s="708"/>
      <c r="AV106" s="708">
        <v>0</v>
      </c>
      <c r="AW106" s="708"/>
      <c r="AX106" s="719"/>
      <c r="AY106" s="708"/>
      <c r="AZ106" s="607">
        <f t="shared" si="78"/>
        <v>0</v>
      </c>
      <c r="BA106" s="708"/>
      <c r="BB106" s="607">
        <f t="shared" si="78"/>
        <v>0</v>
      </c>
      <c r="BC106" s="708"/>
      <c r="BD106" s="607">
        <f t="shared" si="78"/>
        <v>0</v>
      </c>
      <c r="BE106" s="708"/>
      <c r="BF106" s="708">
        <f t="shared" si="79"/>
        <v>0</v>
      </c>
      <c r="BG106" s="708"/>
      <c r="BH106" s="708">
        <f t="shared" si="76"/>
        <v>0</v>
      </c>
      <c r="BJ106" s="592">
        <f t="shared" si="73"/>
        <v>504</v>
      </c>
    </row>
    <row r="107" spans="1:62">
      <c r="A107" s="592">
        <f>+A106+1</f>
        <v>505</v>
      </c>
      <c r="B107" s="725" t="s">
        <v>1497</v>
      </c>
      <c r="F107" s="711" t="s">
        <v>1404</v>
      </c>
      <c r="H107" s="719"/>
      <c r="J107" s="719"/>
      <c r="K107" s="708"/>
      <c r="L107" s="719"/>
      <c r="M107" s="708"/>
      <c r="N107" s="719"/>
      <c r="O107" s="708"/>
      <c r="R107" s="709" t="s">
        <v>1405</v>
      </c>
      <c r="T107" s="708">
        <v>0</v>
      </c>
      <c r="U107" s="708"/>
      <c r="V107" s="708">
        <v>0</v>
      </c>
      <c r="W107" s="708"/>
      <c r="X107" s="708">
        <f>N107</f>
        <v>0</v>
      </c>
      <c r="Y107" s="708"/>
      <c r="Z107" s="708">
        <f>SUM(T107:X107)</f>
        <v>0</v>
      </c>
      <c r="AA107" s="708"/>
      <c r="AB107" s="609" t="s">
        <v>1492</v>
      </c>
      <c r="AC107" s="708"/>
      <c r="AD107" s="708">
        <v>0</v>
      </c>
      <c r="AE107" s="708"/>
      <c r="AF107" s="708">
        <v>0</v>
      </c>
      <c r="AG107" s="708"/>
      <c r="AH107" s="719"/>
      <c r="AI107" s="708"/>
      <c r="AJ107" s="609" t="s">
        <v>1407</v>
      </c>
      <c r="AK107" s="708"/>
      <c r="AL107" s="607">
        <f t="shared" si="77"/>
        <v>0</v>
      </c>
      <c r="AM107" s="708"/>
      <c r="AN107" s="607">
        <f t="shared" si="77"/>
        <v>0</v>
      </c>
      <c r="AO107" s="708"/>
      <c r="AP107" s="607">
        <f t="shared" si="77"/>
        <v>0</v>
      </c>
      <c r="AQ107" s="708"/>
      <c r="AR107" s="708">
        <f t="shared" si="75"/>
        <v>0</v>
      </c>
      <c r="AT107" s="708">
        <v>0</v>
      </c>
      <c r="AU107" s="708"/>
      <c r="AV107" s="708">
        <v>0</v>
      </c>
      <c r="AW107" s="708"/>
      <c r="AX107" s="719"/>
      <c r="AY107" s="708"/>
      <c r="AZ107" s="607">
        <f t="shared" si="78"/>
        <v>0</v>
      </c>
      <c r="BA107" s="708"/>
      <c r="BB107" s="607">
        <f t="shared" si="78"/>
        <v>0</v>
      </c>
      <c r="BC107" s="708"/>
      <c r="BD107" s="607">
        <f t="shared" si="78"/>
        <v>0</v>
      </c>
      <c r="BE107" s="708"/>
      <c r="BF107" s="708">
        <f t="shared" si="79"/>
        <v>0</v>
      </c>
      <c r="BG107" s="708"/>
      <c r="BH107" s="708">
        <f t="shared" si="76"/>
        <v>0</v>
      </c>
      <c r="BJ107" s="592">
        <f t="shared" si="73"/>
        <v>505</v>
      </c>
    </row>
    <row r="108" spans="1:62">
      <c r="A108" s="592">
        <f>+A107+1</f>
        <v>506</v>
      </c>
      <c r="B108" s="725" t="s">
        <v>1498</v>
      </c>
      <c r="F108" s="711" t="s">
        <v>1404</v>
      </c>
      <c r="H108" s="719"/>
      <c r="J108" s="719"/>
      <c r="K108" s="708"/>
      <c r="L108" s="719"/>
      <c r="M108" s="708"/>
      <c r="N108" s="719"/>
      <c r="O108" s="708"/>
      <c r="R108" s="709" t="s">
        <v>1405</v>
      </c>
      <c r="T108" s="708">
        <v>0</v>
      </c>
      <c r="U108" s="708"/>
      <c r="V108" s="708">
        <v>0</v>
      </c>
      <c r="W108" s="708"/>
      <c r="X108" s="708">
        <f>N108</f>
        <v>0</v>
      </c>
      <c r="Y108" s="708"/>
      <c r="Z108" s="708">
        <f>SUM(T108:X108)</f>
        <v>0</v>
      </c>
      <c r="AA108" s="708"/>
      <c r="AB108" s="609" t="s">
        <v>1492</v>
      </c>
      <c r="AC108" s="708"/>
      <c r="AD108" s="708">
        <v>0</v>
      </c>
      <c r="AE108" s="708"/>
      <c r="AF108" s="708">
        <v>0</v>
      </c>
      <c r="AG108" s="708"/>
      <c r="AH108" s="719"/>
      <c r="AI108" s="708"/>
      <c r="AJ108" s="609" t="s">
        <v>1407</v>
      </c>
      <c r="AK108" s="708"/>
      <c r="AL108" s="607">
        <f t="shared" si="77"/>
        <v>0</v>
      </c>
      <c r="AM108" s="708"/>
      <c r="AN108" s="607">
        <f t="shared" si="77"/>
        <v>0</v>
      </c>
      <c r="AO108" s="708"/>
      <c r="AP108" s="607">
        <f t="shared" si="77"/>
        <v>0</v>
      </c>
      <c r="AQ108" s="708"/>
      <c r="AR108" s="708">
        <f t="shared" si="75"/>
        <v>0</v>
      </c>
      <c r="AT108" s="708">
        <v>0</v>
      </c>
      <c r="AU108" s="708"/>
      <c r="AV108" s="708">
        <v>0</v>
      </c>
      <c r="AW108" s="708"/>
      <c r="AX108" s="719"/>
      <c r="AY108" s="708"/>
      <c r="AZ108" s="607">
        <f t="shared" si="78"/>
        <v>0</v>
      </c>
      <c r="BA108" s="708"/>
      <c r="BB108" s="607">
        <f t="shared" si="78"/>
        <v>0</v>
      </c>
      <c r="BC108" s="708"/>
      <c r="BD108" s="607">
        <f t="shared" si="78"/>
        <v>0</v>
      </c>
      <c r="BE108" s="708"/>
      <c r="BF108" s="708">
        <f t="shared" si="79"/>
        <v>0</v>
      </c>
      <c r="BG108" s="708"/>
      <c r="BH108" s="708">
        <f t="shared" si="76"/>
        <v>0</v>
      </c>
      <c r="BJ108" s="592">
        <f t="shared" si="73"/>
        <v>506</v>
      </c>
    </row>
    <row r="109" spans="1:62">
      <c r="A109" s="592">
        <f t="shared" ref="A109:A111" si="80">+A108+1</f>
        <v>507</v>
      </c>
      <c r="B109" s="725" t="s">
        <v>1499</v>
      </c>
      <c r="F109" s="711" t="s">
        <v>1404</v>
      </c>
      <c r="H109" s="719"/>
      <c r="J109" s="719"/>
      <c r="K109" s="708"/>
      <c r="L109" s="719"/>
      <c r="M109" s="708"/>
      <c r="N109" s="719"/>
      <c r="O109" s="708"/>
      <c r="R109" s="709" t="s">
        <v>1405</v>
      </c>
      <c r="T109" s="708">
        <v>0</v>
      </c>
      <c r="U109" s="708"/>
      <c r="V109" s="708">
        <v>0</v>
      </c>
      <c r="W109" s="708"/>
      <c r="X109" s="708">
        <f t="shared" ref="X109:X112" si="81">N109</f>
        <v>0</v>
      </c>
      <c r="Y109" s="708"/>
      <c r="Z109" s="708">
        <f t="shared" ref="Z109:Z112" si="82">SUM(T109:X109)</f>
        <v>0</v>
      </c>
      <c r="AA109" s="708"/>
      <c r="AB109" s="609" t="s">
        <v>1492</v>
      </c>
      <c r="AC109" s="708"/>
      <c r="AD109" s="708">
        <v>0</v>
      </c>
      <c r="AE109" s="708"/>
      <c r="AF109" s="708">
        <v>0</v>
      </c>
      <c r="AG109" s="708"/>
      <c r="AH109" s="719"/>
      <c r="AI109" s="708"/>
      <c r="AJ109" s="609" t="s">
        <v>1407</v>
      </c>
      <c r="AK109" s="708"/>
      <c r="AL109" s="607">
        <f t="shared" si="77"/>
        <v>0</v>
      </c>
      <c r="AM109" s="708"/>
      <c r="AN109" s="607">
        <f t="shared" si="77"/>
        <v>0</v>
      </c>
      <c r="AO109" s="708"/>
      <c r="AP109" s="607">
        <f t="shared" si="77"/>
        <v>0</v>
      </c>
      <c r="AQ109" s="708"/>
      <c r="AR109" s="708">
        <f t="shared" si="75"/>
        <v>0</v>
      </c>
      <c r="AT109" s="708">
        <v>0</v>
      </c>
      <c r="AU109" s="708"/>
      <c r="AV109" s="708">
        <v>0</v>
      </c>
      <c r="AW109" s="708"/>
      <c r="AX109" s="719"/>
      <c r="AY109" s="708"/>
      <c r="AZ109" s="607">
        <f t="shared" si="78"/>
        <v>0</v>
      </c>
      <c r="BA109" s="708"/>
      <c r="BB109" s="607">
        <f t="shared" si="78"/>
        <v>0</v>
      </c>
      <c r="BC109" s="708"/>
      <c r="BD109" s="607">
        <f t="shared" si="78"/>
        <v>0</v>
      </c>
      <c r="BE109" s="708"/>
      <c r="BF109" s="708">
        <f t="shared" si="79"/>
        <v>0</v>
      </c>
      <c r="BG109" s="708"/>
      <c r="BH109" s="708">
        <f t="shared" si="76"/>
        <v>0</v>
      </c>
      <c r="BJ109" s="592">
        <f t="shared" si="73"/>
        <v>507</v>
      </c>
    </row>
    <row r="110" spans="1:62">
      <c r="A110" s="592">
        <f t="shared" si="80"/>
        <v>508</v>
      </c>
      <c r="B110" s="725" t="s">
        <v>1500</v>
      </c>
      <c r="F110" s="711" t="s">
        <v>1404</v>
      </c>
      <c r="H110" s="719"/>
      <c r="J110" s="719"/>
      <c r="K110" s="708"/>
      <c r="L110" s="719"/>
      <c r="M110" s="708"/>
      <c r="N110" s="719"/>
      <c r="O110" s="708"/>
      <c r="R110" s="709" t="s">
        <v>1405</v>
      </c>
      <c r="T110" s="708">
        <v>0</v>
      </c>
      <c r="U110" s="708"/>
      <c r="V110" s="708">
        <v>0</v>
      </c>
      <c r="W110" s="708"/>
      <c r="X110" s="708">
        <f t="shared" si="81"/>
        <v>0</v>
      </c>
      <c r="Y110" s="708"/>
      <c r="Z110" s="708">
        <f t="shared" si="82"/>
        <v>0</v>
      </c>
      <c r="AA110" s="708"/>
      <c r="AB110" s="609" t="s">
        <v>1492</v>
      </c>
      <c r="AC110" s="708"/>
      <c r="AD110" s="708">
        <v>0</v>
      </c>
      <c r="AE110" s="708"/>
      <c r="AF110" s="708">
        <v>0</v>
      </c>
      <c r="AG110" s="708"/>
      <c r="AH110" s="719"/>
      <c r="AI110" s="708"/>
      <c r="AJ110" s="609" t="s">
        <v>1407</v>
      </c>
      <c r="AK110" s="708"/>
      <c r="AL110" s="607">
        <f t="shared" si="77"/>
        <v>0</v>
      </c>
      <c r="AM110" s="708"/>
      <c r="AN110" s="607">
        <f t="shared" si="77"/>
        <v>0</v>
      </c>
      <c r="AO110" s="708"/>
      <c r="AP110" s="607">
        <f t="shared" si="77"/>
        <v>0</v>
      </c>
      <c r="AQ110" s="708"/>
      <c r="AR110" s="708">
        <f t="shared" si="75"/>
        <v>0</v>
      </c>
      <c r="AT110" s="708">
        <v>0</v>
      </c>
      <c r="AU110" s="708"/>
      <c r="AV110" s="708">
        <v>0</v>
      </c>
      <c r="AW110" s="708"/>
      <c r="AX110" s="719"/>
      <c r="AY110" s="708"/>
      <c r="AZ110" s="607">
        <f t="shared" si="78"/>
        <v>0</v>
      </c>
      <c r="BA110" s="708"/>
      <c r="BB110" s="607">
        <f t="shared" si="78"/>
        <v>0</v>
      </c>
      <c r="BC110" s="708"/>
      <c r="BD110" s="607">
        <f t="shared" si="78"/>
        <v>0</v>
      </c>
      <c r="BE110" s="708"/>
      <c r="BF110" s="708">
        <f t="shared" si="79"/>
        <v>0</v>
      </c>
      <c r="BG110" s="708"/>
      <c r="BH110" s="708">
        <f t="shared" si="76"/>
        <v>0</v>
      </c>
      <c r="BJ110" s="592">
        <f t="shared" si="73"/>
        <v>508</v>
      </c>
    </row>
    <row r="111" spans="1:62">
      <c r="A111" s="592">
        <f t="shared" si="80"/>
        <v>509</v>
      </c>
      <c r="B111" s="725"/>
      <c r="H111" s="719"/>
      <c r="J111" s="719"/>
      <c r="K111" s="708"/>
      <c r="L111" s="719"/>
      <c r="M111" s="708"/>
      <c r="N111" s="719"/>
      <c r="O111" s="708"/>
      <c r="T111" s="708">
        <v>0</v>
      </c>
      <c r="U111" s="708"/>
      <c r="V111" s="708">
        <v>0</v>
      </c>
      <c r="W111" s="708"/>
      <c r="X111" s="708">
        <f t="shared" si="81"/>
        <v>0</v>
      </c>
      <c r="Y111" s="708"/>
      <c r="Z111" s="708">
        <f t="shared" si="82"/>
        <v>0</v>
      </c>
      <c r="AA111" s="708"/>
      <c r="AB111" s="708"/>
      <c r="AC111" s="708"/>
      <c r="AD111" s="708">
        <v>0</v>
      </c>
      <c r="AE111" s="708"/>
      <c r="AF111" s="708">
        <v>0</v>
      </c>
      <c r="AG111" s="708"/>
      <c r="AH111" s="719"/>
      <c r="AI111" s="708"/>
      <c r="AJ111" s="708"/>
      <c r="AK111" s="708"/>
      <c r="AL111" s="607">
        <f t="shared" si="77"/>
        <v>0</v>
      </c>
      <c r="AM111" s="708"/>
      <c r="AN111" s="607">
        <f t="shared" si="77"/>
        <v>0</v>
      </c>
      <c r="AO111" s="708"/>
      <c r="AP111" s="607">
        <f t="shared" si="77"/>
        <v>0</v>
      </c>
      <c r="AQ111" s="708"/>
      <c r="AR111" s="708">
        <f t="shared" si="75"/>
        <v>0</v>
      </c>
      <c r="AT111" s="708">
        <v>0</v>
      </c>
      <c r="AU111" s="708"/>
      <c r="AV111" s="708">
        <v>0</v>
      </c>
      <c r="AW111" s="708"/>
      <c r="AX111" s="719"/>
      <c r="AY111" s="708"/>
      <c r="AZ111" s="607">
        <f t="shared" si="78"/>
        <v>0</v>
      </c>
      <c r="BA111" s="708"/>
      <c r="BB111" s="607">
        <f t="shared" si="78"/>
        <v>0</v>
      </c>
      <c r="BC111" s="708"/>
      <c r="BD111" s="607">
        <f t="shared" si="78"/>
        <v>0</v>
      </c>
      <c r="BE111" s="708"/>
      <c r="BF111" s="708">
        <f t="shared" si="79"/>
        <v>0</v>
      </c>
      <c r="BG111" s="708"/>
      <c r="BH111" s="708"/>
      <c r="BJ111" s="592">
        <f t="shared" si="73"/>
        <v>509</v>
      </c>
    </row>
    <row r="112" spans="1:62">
      <c r="A112" s="592">
        <f>+A109+1</f>
        <v>508</v>
      </c>
      <c r="B112" s="725"/>
      <c r="H112" s="719"/>
      <c r="J112" s="719"/>
      <c r="K112" s="708"/>
      <c r="L112" s="719"/>
      <c r="M112" s="708"/>
      <c r="N112" s="719"/>
      <c r="O112" s="708"/>
      <c r="T112" s="708">
        <v>0</v>
      </c>
      <c r="U112" s="708"/>
      <c r="V112" s="708">
        <v>0</v>
      </c>
      <c r="W112" s="708"/>
      <c r="X112" s="708">
        <f t="shared" si="81"/>
        <v>0</v>
      </c>
      <c r="Y112" s="708"/>
      <c r="Z112" s="708">
        <f t="shared" si="82"/>
        <v>0</v>
      </c>
      <c r="AA112" s="708"/>
      <c r="AB112" s="708"/>
      <c r="AC112" s="708"/>
      <c r="AD112" s="708">
        <v>0</v>
      </c>
      <c r="AE112" s="708"/>
      <c r="AF112" s="708">
        <v>0</v>
      </c>
      <c r="AG112" s="708"/>
      <c r="AH112" s="719"/>
      <c r="AI112" s="708"/>
      <c r="AJ112" s="708"/>
      <c r="AK112" s="708"/>
      <c r="AL112" s="607">
        <f t="shared" si="77"/>
        <v>0</v>
      </c>
      <c r="AM112" s="708"/>
      <c r="AN112" s="607">
        <f t="shared" si="77"/>
        <v>0</v>
      </c>
      <c r="AO112" s="708"/>
      <c r="AP112" s="607">
        <f t="shared" si="77"/>
        <v>0</v>
      </c>
      <c r="AQ112" s="708"/>
      <c r="AR112" s="708">
        <f t="shared" si="75"/>
        <v>0</v>
      </c>
      <c r="AT112" s="708">
        <v>0</v>
      </c>
      <c r="AU112" s="708"/>
      <c r="AV112" s="708">
        <v>0</v>
      </c>
      <c r="AW112" s="708"/>
      <c r="AX112" s="719"/>
      <c r="AY112" s="708"/>
      <c r="AZ112" s="607">
        <f t="shared" si="78"/>
        <v>0</v>
      </c>
      <c r="BA112" s="708"/>
      <c r="BB112" s="607">
        <f t="shared" si="78"/>
        <v>0</v>
      </c>
      <c r="BC112" s="708"/>
      <c r="BD112" s="607">
        <f t="shared" si="78"/>
        <v>0</v>
      </c>
      <c r="BE112" s="708"/>
      <c r="BF112" s="708">
        <f t="shared" si="79"/>
        <v>0</v>
      </c>
      <c r="BG112" s="708"/>
      <c r="BH112" s="708"/>
      <c r="BJ112" s="592">
        <f t="shared" si="73"/>
        <v>508</v>
      </c>
    </row>
    <row r="113" spans="1:62">
      <c r="A113" s="592"/>
      <c r="B113" s="702"/>
      <c r="H113" s="708"/>
      <c r="J113" s="708"/>
      <c r="K113" s="708"/>
      <c r="L113" s="708"/>
      <c r="M113" s="708"/>
      <c r="N113" s="708"/>
      <c r="O113" s="708"/>
      <c r="T113" s="708"/>
      <c r="U113" s="708"/>
      <c r="V113" s="708"/>
      <c r="W113" s="708"/>
      <c r="X113" s="708"/>
      <c r="Y113" s="708"/>
      <c r="Z113" s="708"/>
      <c r="AA113" s="708"/>
      <c r="AB113" s="708"/>
      <c r="AC113" s="708"/>
      <c r="AD113" s="708"/>
      <c r="AE113" s="708"/>
      <c r="AF113" s="708"/>
      <c r="AG113" s="708"/>
      <c r="AH113" s="708"/>
      <c r="AI113" s="708"/>
      <c r="AJ113" s="708"/>
      <c r="AK113" s="708"/>
      <c r="AL113" s="708"/>
      <c r="AM113" s="708"/>
      <c r="AN113" s="708"/>
      <c r="AO113" s="708"/>
      <c r="AP113" s="708"/>
      <c r="AQ113" s="708"/>
      <c r="AR113" s="708"/>
      <c r="AT113" s="708"/>
      <c r="AU113" s="708"/>
      <c r="AV113" s="708"/>
      <c r="AW113" s="708"/>
      <c r="AX113" s="708"/>
      <c r="AY113" s="708"/>
      <c r="AZ113" s="708"/>
      <c r="BA113" s="708"/>
      <c r="BB113" s="708"/>
      <c r="BC113" s="708"/>
      <c r="BD113" s="708"/>
      <c r="BE113" s="708"/>
      <c r="BF113" s="708"/>
      <c r="BG113" s="708"/>
      <c r="BH113" s="708"/>
      <c r="BJ113" s="592"/>
    </row>
    <row r="114" spans="1:62">
      <c r="A114" s="324" t="s">
        <v>100</v>
      </c>
      <c r="BJ114" s="722" t="s">
        <v>100</v>
      </c>
    </row>
    <row r="115" spans="1:62">
      <c r="A115" s="592">
        <v>600</v>
      </c>
      <c r="B115" s="699" t="s">
        <v>1501</v>
      </c>
      <c r="H115" s="717">
        <f>ROUND(SUM(H116:H120),0)</f>
        <v>0</v>
      </c>
      <c r="J115" s="717">
        <f>ROUND(SUM(J116:J120),0)</f>
        <v>0</v>
      </c>
      <c r="K115" s="708"/>
      <c r="L115" s="717">
        <f>ROUND(SUM(L116:L120),0)</f>
        <v>0</v>
      </c>
      <c r="M115" s="708"/>
      <c r="N115" s="717">
        <f>ROUND(SUM(N116:N120),0)</f>
        <v>0</v>
      </c>
      <c r="O115" s="708"/>
      <c r="Q115" s="592"/>
      <c r="R115" s="592"/>
      <c r="S115" s="592"/>
      <c r="T115" s="717">
        <f>ROUND(SUM(T116:T120),0)</f>
        <v>0</v>
      </c>
      <c r="U115" s="708"/>
      <c r="V115" s="717">
        <f>ROUND(SUM(V116:V120),0)</f>
        <v>0</v>
      </c>
      <c r="W115" s="708"/>
      <c r="X115" s="717">
        <f>ROUND(SUM(X116:X120),0)</f>
        <v>0</v>
      </c>
      <c r="Y115" s="708"/>
      <c r="Z115" s="717">
        <f>ROUND(SUM(Z116:Z120),0)</f>
        <v>0</v>
      </c>
      <c r="AA115" s="708"/>
      <c r="AB115" s="708"/>
      <c r="AC115" s="708"/>
      <c r="AD115" s="717">
        <f>SUM(AD116:AD120)</f>
        <v>0</v>
      </c>
      <c r="AE115" s="708"/>
      <c r="AF115" s="717">
        <f>SUM(AF116:AF120)</f>
        <v>0</v>
      </c>
      <c r="AG115" s="708"/>
      <c r="AH115" s="717">
        <f>SUM(AH116:AH120)</f>
        <v>0</v>
      </c>
      <c r="AI115" s="708"/>
      <c r="AJ115" s="708"/>
      <c r="AK115" s="708"/>
      <c r="AL115" s="717">
        <f>SUM(AL116:AL120)</f>
        <v>0</v>
      </c>
      <c r="AM115" s="708"/>
      <c r="AN115" s="717">
        <f>SUM(AN116:AN120)</f>
        <v>0</v>
      </c>
      <c r="AO115" s="708"/>
      <c r="AP115" s="717">
        <f>SUM(AP116:AP120)</f>
        <v>0</v>
      </c>
      <c r="AQ115" s="708"/>
      <c r="AR115" s="717">
        <f>SUM(AR116:AR120)</f>
        <v>0</v>
      </c>
      <c r="AT115" s="717">
        <f>SUM(AT116:AT120)</f>
        <v>0</v>
      </c>
      <c r="AU115" s="708"/>
      <c r="AV115" s="717">
        <f>SUM(AV116:AV120)</f>
        <v>0</v>
      </c>
      <c r="AW115" s="708"/>
      <c r="AX115" s="717">
        <f>SUM(AX116:AX120)</f>
        <v>0</v>
      </c>
      <c r="AY115" s="708"/>
      <c r="AZ115" s="717">
        <f>SUM(AZ116:AZ120)</f>
        <v>0</v>
      </c>
      <c r="BA115" s="708"/>
      <c r="BB115" s="717">
        <f>SUM(BB116:BB120)</f>
        <v>0</v>
      </c>
      <c r="BC115" s="708"/>
      <c r="BD115" s="717">
        <f>SUM(BD116:BD120)</f>
        <v>0</v>
      </c>
      <c r="BE115" s="708"/>
      <c r="BF115" s="717">
        <f>SUM(BF116:BF120)</f>
        <v>0</v>
      </c>
      <c r="BG115" s="708"/>
      <c r="BH115" s="717">
        <f>ROUND(SUM(BH116:BH120),0)</f>
        <v>0</v>
      </c>
      <c r="BJ115" s="592">
        <f t="shared" ref="BJ115:BJ120" si="83">A115</f>
        <v>600</v>
      </c>
    </row>
    <row r="116" spans="1:62">
      <c r="A116" s="592">
        <f t="shared" ref="A116:A119" si="84">A115+1</f>
        <v>601</v>
      </c>
      <c r="B116" s="637" t="s">
        <v>1502</v>
      </c>
      <c r="F116" s="711" t="s">
        <v>1420</v>
      </c>
      <c r="H116" s="719"/>
      <c r="J116" s="719"/>
      <c r="K116" s="708"/>
      <c r="L116" s="719"/>
      <c r="M116" s="708"/>
      <c r="N116" s="719"/>
      <c r="O116" s="708"/>
      <c r="R116" s="709" t="s">
        <v>1415</v>
      </c>
      <c r="T116" s="708">
        <f>+N116</f>
        <v>0</v>
      </c>
      <c r="U116" s="708"/>
      <c r="V116" s="708">
        <v>0</v>
      </c>
      <c r="W116" s="708"/>
      <c r="X116" s="708">
        <v>0</v>
      </c>
      <c r="Y116" s="708"/>
      <c r="Z116" s="708">
        <f>SUM(T116:X116)</f>
        <v>0</v>
      </c>
      <c r="AA116" s="708"/>
      <c r="AB116" s="609" t="s">
        <v>1406</v>
      </c>
      <c r="AC116" s="708"/>
      <c r="AD116" s="719"/>
      <c r="AE116" s="708"/>
      <c r="AF116" s="708">
        <v>0</v>
      </c>
      <c r="AG116" s="708"/>
      <c r="AH116" s="708">
        <v>0</v>
      </c>
      <c r="AI116" s="708"/>
      <c r="AJ116" s="609" t="s">
        <v>1416</v>
      </c>
      <c r="AK116" s="708"/>
      <c r="AL116" s="607">
        <f>+T116-AD116</f>
        <v>0</v>
      </c>
      <c r="AM116" s="708"/>
      <c r="AN116" s="607">
        <f>+V116-AF116</f>
        <v>0</v>
      </c>
      <c r="AO116" s="708"/>
      <c r="AP116" s="607">
        <f>+X116-AH116</f>
        <v>0</v>
      </c>
      <c r="AQ116" s="708"/>
      <c r="AR116" s="708">
        <f t="shared" ref="AR116:AR121" si="85">SUM(AL116:AP116)</f>
        <v>0</v>
      </c>
      <c r="AT116" s="719"/>
      <c r="AU116" s="708"/>
      <c r="AV116" s="708">
        <v>0</v>
      </c>
      <c r="AW116" s="708"/>
      <c r="AX116" s="708">
        <v>0</v>
      </c>
      <c r="AY116" s="708"/>
      <c r="AZ116" s="607">
        <f>+AL116-AT116</f>
        <v>0</v>
      </c>
      <c r="BA116" s="708"/>
      <c r="BB116" s="607">
        <f>+AN116-AV116</f>
        <v>0</v>
      </c>
      <c r="BC116" s="708"/>
      <c r="BD116" s="607">
        <f>+AP116-AX116</f>
        <v>0</v>
      </c>
      <c r="BE116" s="708"/>
      <c r="BF116" s="708">
        <f>SUM(AZ116:BD116)</f>
        <v>0</v>
      </c>
      <c r="BG116" s="708"/>
      <c r="BH116" s="708">
        <f>+BF116*$BH$9</f>
        <v>0</v>
      </c>
      <c r="BJ116" s="592">
        <f t="shared" si="83"/>
        <v>601</v>
      </c>
    </row>
    <row r="117" spans="1:62">
      <c r="A117" s="592">
        <f t="shared" si="84"/>
        <v>602</v>
      </c>
      <c r="B117" s="637" t="s">
        <v>1531</v>
      </c>
      <c r="F117" s="711" t="s">
        <v>1420</v>
      </c>
      <c r="H117" s="719"/>
      <c r="J117" s="719"/>
      <c r="K117" s="708"/>
      <c r="L117" s="719"/>
      <c r="M117" s="708"/>
      <c r="N117" s="719"/>
      <c r="O117" s="708"/>
      <c r="R117" s="709" t="s">
        <v>1415</v>
      </c>
      <c r="T117" s="708">
        <f t="shared" ref="T117:T120" si="86">+N117</f>
        <v>0</v>
      </c>
      <c r="U117" s="708"/>
      <c r="V117" s="708">
        <v>0</v>
      </c>
      <c r="W117" s="708"/>
      <c r="X117" s="708">
        <v>0</v>
      </c>
      <c r="Y117" s="708"/>
      <c r="Z117" s="708">
        <f t="shared" ref="Z117:Z120" si="87">SUM(T117:X117)</f>
        <v>0</v>
      </c>
      <c r="AA117" s="708"/>
      <c r="AB117" s="609" t="s">
        <v>1406</v>
      </c>
      <c r="AC117" s="708"/>
      <c r="AD117" s="719"/>
      <c r="AE117" s="708"/>
      <c r="AF117" s="708">
        <v>0</v>
      </c>
      <c r="AG117" s="708"/>
      <c r="AH117" s="708">
        <v>0</v>
      </c>
      <c r="AI117" s="708"/>
      <c r="AJ117" s="609" t="s">
        <v>1416</v>
      </c>
      <c r="AK117" s="708"/>
      <c r="AL117" s="607">
        <f t="shared" ref="AL117:AP121" si="88">+T117-AD117</f>
        <v>0</v>
      </c>
      <c r="AM117" s="708"/>
      <c r="AN117" s="607">
        <f t="shared" si="88"/>
        <v>0</v>
      </c>
      <c r="AO117" s="708"/>
      <c r="AP117" s="607">
        <f t="shared" si="88"/>
        <v>0</v>
      </c>
      <c r="AQ117" s="708"/>
      <c r="AR117" s="708">
        <f t="shared" si="85"/>
        <v>0</v>
      </c>
      <c r="AT117" s="719"/>
      <c r="AU117" s="708"/>
      <c r="AV117" s="708">
        <v>0</v>
      </c>
      <c r="AW117" s="708"/>
      <c r="AX117" s="708">
        <v>0</v>
      </c>
      <c r="AY117" s="708"/>
      <c r="AZ117" s="607">
        <f t="shared" ref="AZ117:BD121" si="89">+AL117-AT117</f>
        <v>0</v>
      </c>
      <c r="BA117" s="708"/>
      <c r="BB117" s="607">
        <f t="shared" si="89"/>
        <v>0</v>
      </c>
      <c r="BC117" s="708"/>
      <c r="BD117" s="607">
        <f t="shared" si="89"/>
        <v>0</v>
      </c>
      <c r="BE117" s="708"/>
      <c r="BF117" s="708">
        <f t="shared" ref="BF117:BF120" si="90">SUM(AZ117:BD117)</f>
        <v>0</v>
      </c>
      <c r="BG117" s="708"/>
      <c r="BH117" s="708">
        <f>+BF117*$BH$9</f>
        <v>0</v>
      </c>
      <c r="BJ117" s="592">
        <f t="shared" si="83"/>
        <v>602</v>
      </c>
    </row>
    <row r="118" spans="1:62">
      <c r="A118" s="592">
        <f t="shared" si="84"/>
        <v>603</v>
      </c>
      <c r="B118" s="726" t="s">
        <v>127</v>
      </c>
      <c r="H118" s="719"/>
      <c r="J118" s="719"/>
      <c r="K118" s="708"/>
      <c r="L118" s="719"/>
      <c r="M118" s="708"/>
      <c r="N118" s="719"/>
      <c r="O118" s="708"/>
      <c r="T118" s="708">
        <f t="shared" si="86"/>
        <v>0</v>
      </c>
      <c r="U118" s="708"/>
      <c r="V118" s="708">
        <v>0</v>
      </c>
      <c r="W118" s="708"/>
      <c r="X118" s="708">
        <v>0</v>
      </c>
      <c r="Y118" s="708"/>
      <c r="Z118" s="708">
        <f t="shared" si="87"/>
        <v>0</v>
      </c>
      <c r="AA118" s="708"/>
      <c r="AB118" s="708"/>
      <c r="AC118" s="708"/>
      <c r="AD118" s="719"/>
      <c r="AE118" s="708"/>
      <c r="AF118" s="708">
        <v>0</v>
      </c>
      <c r="AG118" s="708"/>
      <c r="AH118" s="708">
        <v>0</v>
      </c>
      <c r="AI118" s="708"/>
      <c r="AJ118" s="708"/>
      <c r="AK118" s="708"/>
      <c r="AL118" s="607">
        <f t="shared" si="88"/>
        <v>0</v>
      </c>
      <c r="AM118" s="708"/>
      <c r="AN118" s="607">
        <f t="shared" si="88"/>
        <v>0</v>
      </c>
      <c r="AO118" s="708"/>
      <c r="AP118" s="607">
        <f t="shared" si="88"/>
        <v>0</v>
      </c>
      <c r="AQ118" s="708"/>
      <c r="AR118" s="708">
        <f t="shared" si="85"/>
        <v>0</v>
      </c>
      <c r="AT118" s="719"/>
      <c r="AU118" s="708"/>
      <c r="AV118" s="708">
        <v>0</v>
      </c>
      <c r="AW118" s="708"/>
      <c r="AX118" s="708">
        <v>0</v>
      </c>
      <c r="AY118" s="708"/>
      <c r="AZ118" s="607">
        <f t="shared" si="89"/>
        <v>0</v>
      </c>
      <c r="BA118" s="708"/>
      <c r="BB118" s="607">
        <f t="shared" si="89"/>
        <v>0</v>
      </c>
      <c r="BC118" s="708"/>
      <c r="BD118" s="607">
        <f t="shared" si="89"/>
        <v>0</v>
      </c>
      <c r="BE118" s="708"/>
      <c r="BF118" s="708">
        <f t="shared" si="90"/>
        <v>0</v>
      </c>
      <c r="BG118" s="708"/>
      <c r="BH118" s="708">
        <f>+BF118*$BH$9</f>
        <v>0</v>
      </c>
      <c r="BJ118" s="592">
        <f t="shared" si="83"/>
        <v>603</v>
      </c>
    </row>
    <row r="119" spans="1:62">
      <c r="A119" s="592">
        <f t="shared" si="84"/>
        <v>604</v>
      </c>
      <c r="B119" s="726" t="s">
        <v>127</v>
      </c>
      <c r="H119" s="719"/>
      <c r="J119" s="719"/>
      <c r="K119" s="708"/>
      <c r="L119" s="719"/>
      <c r="M119" s="708"/>
      <c r="N119" s="719"/>
      <c r="O119" s="708"/>
      <c r="T119" s="708">
        <f t="shared" si="86"/>
        <v>0</v>
      </c>
      <c r="U119" s="708"/>
      <c r="V119" s="708">
        <v>0</v>
      </c>
      <c r="W119" s="708"/>
      <c r="X119" s="708">
        <v>0</v>
      </c>
      <c r="Y119" s="708"/>
      <c r="Z119" s="708">
        <f t="shared" si="87"/>
        <v>0</v>
      </c>
      <c r="AA119" s="708"/>
      <c r="AB119" s="708"/>
      <c r="AC119" s="708"/>
      <c r="AD119" s="719"/>
      <c r="AE119" s="708"/>
      <c r="AF119" s="708">
        <v>0</v>
      </c>
      <c r="AG119" s="708"/>
      <c r="AH119" s="708">
        <v>0</v>
      </c>
      <c r="AI119" s="708"/>
      <c r="AJ119" s="708"/>
      <c r="AK119" s="708"/>
      <c r="AL119" s="607">
        <f t="shared" si="88"/>
        <v>0</v>
      </c>
      <c r="AM119" s="708"/>
      <c r="AN119" s="607">
        <f t="shared" si="88"/>
        <v>0</v>
      </c>
      <c r="AO119" s="708"/>
      <c r="AP119" s="607">
        <f t="shared" si="88"/>
        <v>0</v>
      </c>
      <c r="AQ119" s="708"/>
      <c r="AR119" s="708">
        <f t="shared" si="85"/>
        <v>0</v>
      </c>
      <c r="AT119" s="719"/>
      <c r="AU119" s="708"/>
      <c r="AV119" s="708">
        <v>0</v>
      </c>
      <c r="AW119" s="708"/>
      <c r="AX119" s="708">
        <v>0</v>
      </c>
      <c r="AY119" s="708"/>
      <c r="AZ119" s="607">
        <f t="shared" si="89"/>
        <v>0</v>
      </c>
      <c r="BA119" s="708"/>
      <c r="BB119" s="607">
        <f t="shared" si="89"/>
        <v>0</v>
      </c>
      <c r="BC119" s="708"/>
      <c r="BD119" s="607">
        <f t="shared" si="89"/>
        <v>0</v>
      </c>
      <c r="BE119" s="708"/>
      <c r="BF119" s="708">
        <f t="shared" si="90"/>
        <v>0</v>
      </c>
      <c r="BG119" s="708"/>
      <c r="BH119" s="708">
        <f>+BF119*$BH$9</f>
        <v>0</v>
      </c>
      <c r="BJ119" s="592">
        <f t="shared" si="83"/>
        <v>604</v>
      </c>
    </row>
    <row r="120" spans="1:62">
      <c r="A120" s="592">
        <f>+A119+1</f>
        <v>605</v>
      </c>
      <c r="B120" s="726" t="s">
        <v>127</v>
      </c>
      <c r="H120" s="719"/>
      <c r="J120" s="719"/>
      <c r="K120" s="708"/>
      <c r="L120" s="719"/>
      <c r="M120" s="708"/>
      <c r="N120" s="719"/>
      <c r="O120" s="708"/>
      <c r="T120" s="708">
        <f t="shared" si="86"/>
        <v>0</v>
      </c>
      <c r="U120" s="708"/>
      <c r="V120" s="708">
        <v>0</v>
      </c>
      <c r="W120" s="708"/>
      <c r="X120" s="708">
        <v>0</v>
      </c>
      <c r="Y120" s="708"/>
      <c r="Z120" s="708">
        <f t="shared" si="87"/>
        <v>0</v>
      </c>
      <c r="AA120" s="708"/>
      <c r="AB120" s="708"/>
      <c r="AC120" s="708"/>
      <c r="AD120" s="719"/>
      <c r="AE120" s="708"/>
      <c r="AF120" s="708">
        <v>0</v>
      </c>
      <c r="AG120" s="708"/>
      <c r="AH120" s="708">
        <v>0</v>
      </c>
      <c r="AI120" s="708"/>
      <c r="AJ120" s="708"/>
      <c r="AK120" s="708"/>
      <c r="AL120" s="607">
        <f t="shared" si="88"/>
        <v>0</v>
      </c>
      <c r="AM120" s="708"/>
      <c r="AN120" s="607">
        <f t="shared" si="88"/>
        <v>0</v>
      </c>
      <c r="AO120" s="708"/>
      <c r="AP120" s="607">
        <f t="shared" si="88"/>
        <v>0</v>
      </c>
      <c r="AQ120" s="708"/>
      <c r="AR120" s="708">
        <f t="shared" si="85"/>
        <v>0</v>
      </c>
      <c r="AT120" s="719"/>
      <c r="AU120" s="708"/>
      <c r="AV120" s="708">
        <v>0</v>
      </c>
      <c r="AW120" s="708"/>
      <c r="AX120" s="708">
        <v>0</v>
      </c>
      <c r="AY120" s="708"/>
      <c r="AZ120" s="607">
        <f t="shared" si="89"/>
        <v>0</v>
      </c>
      <c r="BA120" s="708"/>
      <c r="BB120" s="607">
        <f t="shared" si="89"/>
        <v>0</v>
      </c>
      <c r="BC120" s="708"/>
      <c r="BD120" s="607">
        <f t="shared" si="89"/>
        <v>0</v>
      </c>
      <c r="BE120" s="708"/>
      <c r="BF120" s="708">
        <f t="shared" si="90"/>
        <v>0</v>
      </c>
      <c r="BG120" s="708"/>
      <c r="BH120" s="708">
        <f>+BF120*$BH$9</f>
        <v>0</v>
      </c>
      <c r="BJ120" s="592">
        <f t="shared" si="83"/>
        <v>605</v>
      </c>
    </row>
    <row r="121" spans="1:62">
      <c r="A121" s="592"/>
      <c r="B121" s="702"/>
      <c r="H121" s="708"/>
      <c r="J121" s="708"/>
      <c r="K121" s="708"/>
      <c r="L121" s="708"/>
      <c r="M121" s="708"/>
      <c r="N121" s="708"/>
      <c r="O121" s="708"/>
      <c r="T121" s="708"/>
      <c r="U121" s="708"/>
      <c r="V121" s="708"/>
      <c r="W121" s="708"/>
      <c r="X121" s="708"/>
      <c r="Y121" s="708"/>
      <c r="Z121" s="708"/>
      <c r="AA121" s="708"/>
      <c r="AB121" s="708"/>
      <c r="AC121" s="708"/>
      <c r="AD121" s="708"/>
      <c r="AE121" s="708"/>
      <c r="AF121" s="708"/>
      <c r="AG121" s="708"/>
      <c r="AH121" s="708"/>
      <c r="AI121" s="708"/>
      <c r="AJ121" s="708"/>
      <c r="AK121" s="708"/>
      <c r="AL121" s="607">
        <f t="shared" si="88"/>
        <v>0</v>
      </c>
      <c r="AM121" s="708"/>
      <c r="AN121" s="607">
        <f t="shared" si="88"/>
        <v>0</v>
      </c>
      <c r="AO121" s="708"/>
      <c r="AP121" s="607">
        <f t="shared" si="88"/>
        <v>0</v>
      </c>
      <c r="AQ121" s="708"/>
      <c r="AR121" s="708">
        <f t="shared" si="85"/>
        <v>0</v>
      </c>
      <c r="AT121" s="708"/>
      <c r="AU121" s="708"/>
      <c r="AV121" s="708"/>
      <c r="AW121" s="708"/>
      <c r="AX121" s="708"/>
      <c r="AY121" s="708"/>
      <c r="AZ121" s="607">
        <f t="shared" si="89"/>
        <v>0</v>
      </c>
      <c r="BA121" s="708"/>
      <c r="BB121" s="607">
        <f t="shared" si="89"/>
        <v>0</v>
      </c>
      <c r="BC121" s="708"/>
      <c r="BD121" s="607">
        <f t="shared" si="89"/>
        <v>0</v>
      </c>
      <c r="BE121" s="708"/>
      <c r="BF121" s="708"/>
      <c r="BG121" s="708"/>
      <c r="BH121" s="708"/>
      <c r="BJ121" s="592"/>
    </row>
    <row r="122" spans="1:62">
      <c r="A122" s="324" t="s">
        <v>100</v>
      </c>
      <c r="BJ122" s="722" t="s">
        <v>100</v>
      </c>
    </row>
    <row r="123" spans="1:62">
      <c r="A123" s="592">
        <v>700</v>
      </c>
      <c r="B123" s="724" t="s">
        <v>1421</v>
      </c>
      <c r="H123" s="717">
        <f>SUM(H124:H128)</f>
        <v>0</v>
      </c>
      <c r="J123" s="717">
        <f>SUM(J124:J128)</f>
        <v>0</v>
      </c>
      <c r="K123" s="708"/>
      <c r="L123" s="717">
        <f>SUM(L124:L128)</f>
        <v>0</v>
      </c>
      <c r="M123" s="708"/>
      <c r="N123" s="717">
        <f>SUM(N124:N128)</f>
        <v>0</v>
      </c>
      <c r="O123" s="708"/>
      <c r="Q123" s="592"/>
      <c r="R123" s="592"/>
      <c r="S123" s="592"/>
      <c r="T123" s="717">
        <f>SUM(T124:T128)</f>
        <v>0</v>
      </c>
      <c r="U123" s="708"/>
      <c r="V123" s="717">
        <f>SUM(V124:V128)</f>
        <v>0</v>
      </c>
      <c r="W123" s="708"/>
      <c r="X123" s="717">
        <f>SUM(X124:X128)</f>
        <v>0</v>
      </c>
      <c r="Y123" s="708"/>
      <c r="Z123" s="717">
        <f>SUM(Z124:Z128)</f>
        <v>0</v>
      </c>
      <c r="AA123" s="708"/>
      <c r="AB123" s="708"/>
      <c r="AC123" s="708"/>
      <c r="AD123" s="717">
        <f>SUM(AD124:AD128)</f>
        <v>0</v>
      </c>
      <c r="AE123" s="708"/>
      <c r="AF123" s="717">
        <f>SUM(AF124:AF128)</f>
        <v>0</v>
      </c>
      <c r="AG123" s="708"/>
      <c r="AH123" s="717">
        <f>SUM(AH124:AH128)</f>
        <v>0</v>
      </c>
      <c r="AI123" s="708"/>
      <c r="AJ123" s="708"/>
      <c r="AK123" s="708"/>
      <c r="AL123" s="717">
        <f>SUM(AL124:AL128)</f>
        <v>0</v>
      </c>
      <c r="AM123" s="708"/>
      <c r="AN123" s="717">
        <f>SUM(AN124:AN128)</f>
        <v>0</v>
      </c>
      <c r="AO123" s="708"/>
      <c r="AP123" s="717">
        <f>SUM(AP124:AP128)</f>
        <v>0</v>
      </c>
      <c r="AQ123" s="708"/>
      <c r="AR123" s="717">
        <f>SUM(AR124:AR128)</f>
        <v>0</v>
      </c>
      <c r="AT123" s="717">
        <f>SUM(AT124:AT128)</f>
        <v>0</v>
      </c>
      <c r="AU123" s="708"/>
      <c r="AV123" s="717">
        <f>SUM(AV124:AV128)</f>
        <v>0</v>
      </c>
      <c r="AW123" s="708"/>
      <c r="AX123" s="717">
        <f>SUM(AX124:AX128)</f>
        <v>0</v>
      </c>
      <c r="AY123" s="708"/>
      <c r="AZ123" s="717">
        <f>SUM(AZ124:AZ128)</f>
        <v>0</v>
      </c>
      <c r="BA123" s="708"/>
      <c r="BB123" s="717">
        <f>SUM(BB124:BB128)</f>
        <v>0</v>
      </c>
      <c r="BC123" s="708"/>
      <c r="BD123" s="717">
        <f>SUM(BD124:BD128)</f>
        <v>0</v>
      </c>
      <c r="BE123" s="708"/>
      <c r="BF123" s="717">
        <f>SUM(BF124:BF128)</f>
        <v>0</v>
      </c>
      <c r="BG123" s="708"/>
      <c r="BH123" s="717">
        <f>SUM(BH124:BH128)</f>
        <v>0</v>
      </c>
      <c r="BJ123" s="592">
        <f t="shared" ref="BJ123:BJ128" si="91">A123</f>
        <v>700</v>
      </c>
    </row>
    <row r="124" spans="1:62">
      <c r="A124" s="592">
        <f t="shared" ref="A124:A127" si="92">A123+1</f>
        <v>701</v>
      </c>
      <c r="B124" s="726" t="s">
        <v>1529</v>
      </c>
      <c r="H124" s="719"/>
      <c r="J124" s="719"/>
      <c r="K124" s="708"/>
      <c r="L124" s="719"/>
      <c r="M124" s="708"/>
      <c r="N124" s="719"/>
      <c r="O124" s="708"/>
      <c r="T124" s="708">
        <v>0</v>
      </c>
      <c r="U124" s="708"/>
      <c r="V124" s="708">
        <v>0</v>
      </c>
      <c r="W124" s="708"/>
      <c r="X124" s="708">
        <v>0</v>
      </c>
      <c r="Y124" s="708"/>
      <c r="Z124" s="708">
        <f>SUM(T124:X124)</f>
        <v>0</v>
      </c>
      <c r="AA124" s="708"/>
      <c r="AB124" s="708"/>
      <c r="AC124" s="708"/>
      <c r="AD124" s="719"/>
      <c r="AE124" s="708"/>
      <c r="AF124" s="719"/>
      <c r="AG124" s="708"/>
      <c r="AH124" s="719"/>
      <c r="AI124" s="708"/>
      <c r="AJ124" s="708"/>
      <c r="AK124" s="708"/>
      <c r="AL124" s="607">
        <f>+T124-AD124</f>
        <v>0</v>
      </c>
      <c r="AM124" s="708"/>
      <c r="AN124" s="607">
        <f>+V124-AF124</f>
        <v>0</v>
      </c>
      <c r="AO124" s="708"/>
      <c r="AP124" s="607">
        <f>+X124-AH124</f>
        <v>0</v>
      </c>
      <c r="AQ124" s="708"/>
      <c r="AR124" s="708">
        <f t="shared" ref="AR124:AR128" si="93">SUM(AL124:AP124)</f>
        <v>0</v>
      </c>
      <c r="AT124" s="719"/>
      <c r="AU124" s="708"/>
      <c r="AV124" s="719"/>
      <c r="AW124" s="708"/>
      <c r="AX124" s="719"/>
      <c r="AY124" s="708"/>
      <c r="AZ124" s="607">
        <f>+AL124-AT124</f>
        <v>0</v>
      </c>
      <c r="BA124" s="708"/>
      <c r="BB124" s="607">
        <f>+AN124-AV124</f>
        <v>0</v>
      </c>
      <c r="BC124" s="708"/>
      <c r="BD124" s="607">
        <f>+AP124-AX124</f>
        <v>0</v>
      </c>
      <c r="BE124" s="708"/>
      <c r="BF124" s="708">
        <f>SUM(AZ124:BD124)</f>
        <v>0</v>
      </c>
      <c r="BG124" s="708"/>
      <c r="BH124" s="708">
        <f>+BF124*$BH$9</f>
        <v>0</v>
      </c>
      <c r="BJ124" s="592">
        <f t="shared" si="91"/>
        <v>701</v>
      </c>
    </row>
    <row r="125" spans="1:62">
      <c r="A125" s="592">
        <f t="shared" si="92"/>
        <v>702</v>
      </c>
      <c r="B125" s="726" t="s">
        <v>127</v>
      </c>
      <c r="H125" s="719"/>
      <c r="J125" s="719"/>
      <c r="K125" s="708"/>
      <c r="L125" s="719"/>
      <c r="M125" s="708"/>
      <c r="N125" s="719"/>
      <c r="O125" s="708"/>
      <c r="T125" s="708">
        <v>0</v>
      </c>
      <c r="U125" s="708"/>
      <c r="V125" s="708">
        <v>0</v>
      </c>
      <c r="W125" s="708"/>
      <c r="X125" s="708">
        <v>0</v>
      </c>
      <c r="Y125" s="708"/>
      <c r="Z125" s="708">
        <f t="shared" ref="Z125:Z128" si="94">SUM(T125:X125)</f>
        <v>0</v>
      </c>
      <c r="AA125" s="708"/>
      <c r="AB125" s="708"/>
      <c r="AC125" s="708"/>
      <c r="AD125" s="719"/>
      <c r="AE125" s="708"/>
      <c r="AF125" s="719"/>
      <c r="AG125" s="708"/>
      <c r="AH125" s="719"/>
      <c r="AI125" s="708"/>
      <c r="AJ125" s="708"/>
      <c r="AK125" s="708"/>
      <c r="AL125" s="607">
        <f t="shared" ref="AL125:AP128" si="95">+T125-AD125</f>
        <v>0</v>
      </c>
      <c r="AM125" s="708"/>
      <c r="AN125" s="607">
        <f t="shared" si="95"/>
        <v>0</v>
      </c>
      <c r="AO125" s="708"/>
      <c r="AP125" s="607">
        <f t="shared" si="95"/>
        <v>0</v>
      </c>
      <c r="AQ125" s="708"/>
      <c r="AR125" s="708">
        <f t="shared" si="93"/>
        <v>0</v>
      </c>
      <c r="AT125" s="719"/>
      <c r="AU125" s="708"/>
      <c r="AV125" s="719"/>
      <c r="AW125" s="708"/>
      <c r="AX125" s="719"/>
      <c r="AY125" s="708"/>
      <c r="AZ125" s="607">
        <f t="shared" ref="AZ125:BD128" si="96">+AL125-AT125</f>
        <v>0</v>
      </c>
      <c r="BA125" s="708"/>
      <c r="BB125" s="607">
        <f t="shared" si="96"/>
        <v>0</v>
      </c>
      <c r="BC125" s="708"/>
      <c r="BD125" s="607">
        <f t="shared" si="96"/>
        <v>0</v>
      </c>
      <c r="BE125" s="708"/>
      <c r="BF125" s="708">
        <f t="shared" ref="BF125:BF128" si="97">SUM(AZ125:BD125)</f>
        <v>0</v>
      </c>
      <c r="BG125" s="708"/>
      <c r="BH125" s="708">
        <f>+BF125*$BH$9</f>
        <v>0</v>
      </c>
      <c r="BJ125" s="592">
        <f t="shared" si="91"/>
        <v>702</v>
      </c>
    </row>
    <row r="126" spans="1:62">
      <c r="A126" s="592">
        <f t="shared" si="92"/>
        <v>703</v>
      </c>
      <c r="B126" s="726" t="s">
        <v>127</v>
      </c>
      <c r="H126" s="719"/>
      <c r="J126" s="719"/>
      <c r="K126" s="708"/>
      <c r="L126" s="719"/>
      <c r="M126" s="708"/>
      <c r="N126" s="719"/>
      <c r="O126" s="708"/>
      <c r="T126" s="708">
        <v>0</v>
      </c>
      <c r="U126" s="708"/>
      <c r="V126" s="708">
        <v>0</v>
      </c>
      <c r="W126" s="708"/>
      <c r="X126" s="708">
        <v>0</v>
      </c>
      <c r="Y126" s="708"/>
      <c r="Z126" s="708">
        <f t="shared" si="94"/>
        <v>0</v>
      </c>
      <c r="AA126" s="708"/>
      <c r="AB126" s="708"/>
      <c r="AC126" s="708"/>
      <c r="AD126" s="719"/>
      <c r="AE126" s="708"/>
      <c r="AF126" s="719"/>
      <c r="AG126" s="708"/>
      <c r="AH126" s="719"/>
      <c r="AI126" s="708"/>
      <c r="AJ126" s="708"/>
      <c r="AK126" s="708"/>
      <c r="AL126" s="607">
        <f t="shared" si="95"/>
        <v>0</v>
      </c>
      <c r="AM126" s="708"/>
      <c r="AN126" s="607">
        <f t="shared" si="95"/>
        <v>0</v>
      </c>
      <c r="AO126" s="708"/>
      <c r="AP126" s="607">
        <f t="shared" si="95"/>
        <v>0</v>
      </c>
      <c r="AQ126" s="708"/>
      <c r="AR126" s="708">
        <f t="shared" si="93"/>
        <v>0</v>
      </c>
      <c r="AT126" s="719"/>
      <c r="AU126" s="708"/>
      <c r="AV126" s="719"/>
      <c r="AW126" s="708"/>
      <c r="AX126" s="719"/>
      <c r="AY126" s="708"/>
      <c r="AZ126" s="607">
        <f t="shared" si="96"/>
        <v>0</v>
      </c>
      <c r="BA126" s="708"/>
      <c r="BB126" s="607">
        <f t="shared" si="96"/>
        <v>0</v>
      </c>
      <c r="BC126" s="708"/>
      <c r="BD126" s="607">
        <f t="shared" si="96"/>
        <v>0</v>
      </c>
      <c r="BE126" s="708"/>
      <c r="BF126" s="708">
        <f t="shared" si="97"/>
        <v>0</v>
      </c>
      <c r="BG126" s="708"/>
      <c r="BH126" s="708">
        <f>+BF126*$BH$9</f>
        <v>0</v>
      </c>
      <c r="BJ126" s="592">
        <f t="shared" si="91"/>
        <v>703</v>
      </c>
    </row>
    <row r="127" spans="1:62">
      <c r="A127" s="592">
        <f t="shared" si="92"/>
        <v>704</v>
      </c>
      <c r="B127" s="726" t="s">
        <v>127</v>
      </c>
      <c r="H127" s="719"/>
      <c r="J127" s="719"/>
      <c r="K127" s="708"/>
      <c r="L127" s="719"/>
      <c r="M127" s="708"/>
      <c r="N127" s="719"/>
      <c r="O127" s="708"/>
      <c r="T127" s="708">
        <v>0</v>
      </c>
      <c r="U127" s="708"/>
      <c r="V127" s="708">
        <v>0</v>
      </c>
      <c r="W127" s="708"/>
      <c r="X127" s="708">
        <v>0</v>
      </c>
      <c r="Y127" s="708"/>
      <c r="Z127" s="708">
        <f t="shared" si="94"/>
        <v>0</v>
      </c>
      <c r="AA127" s="708"/>
      <c r="AB127" s="708"/>
      <c r="AC127" s="708"/>
      <c r="AD127" s="719"/>
      <c r="AE127" s="708"/>
      <c r="AF127" s="719"/>
      <c r="AG127" s="708"/>
      <c r="AH127" s="719"/>
      <c r="AI127" s="708"/>
      <c r="AJ127" s="708"/>
      <c r="AK127" s="708"/>
      <c r="AL127" s="607">
        <f t="shared" si="95"/>
        <v>0</v>
      </c>
      <c r="AM127" s="708"/>
      <c r="AN127" s="607">
        <f t="shared" si="95"/>
        <v>0</v>
      </c>
      <c r="AO127" s="708"/>
      <c r="AP127" s="607">
        <f t="shared" si="95"/>
        <v>0</v>
      </c>
      <c r="AQ127" s="708"/>
      <c r="AR127" s="708">
        <f t="shared" si="93"/>
        <v>0</v>
      </c>
      <c r="AT127" s="719"/>
      <c r="AU127" s="708"/>
      <c r="AV127" s="719"/>
      <c r="AW127" s="708"/>
      <c r="AX127" s="719"/>
      <c r="AY127" s="708"/>
      <c r="AZ127" s="607">
        <f t="shared" si="96"/>
        <v>0</v>
      </c>
      <c r="BA127" s="708"/>
      <c r="BB127" s="607">
        <f t="shared" si="96"/>
        <v>0</v>
      </c>
      <c r="BC127" s="708"/>
      <c r="BD127" s="607">
        <f t="shared" si="96"/>
        <v>0</v>
      </c>
      <c r="BE127" s="708"/>
      <c r="BF127" s="708">
        <f t="shared" si="97"/>
        <v>0</v>
      </c>
      <c r="BG127" s="708"/>
      <c r="BH127" s="708">
        <f>+BF127*$BH$9</f>
        <v>0</v>
      </c>
      <c r="BJ127" s="592">
        <f t="shared" si="91"/>
        <v>704</v>
      </c>
    </row>
    <row r="128" spans="1:62">
      <c r="A128" s="592">
        <f>+A127+1</f>
        <v>705</v>
      </c>
      <c r="B128" s="726" t="s">
        <v>127</v>
      </c>
      <c r="H128" s="719"/>
      <c r="J128" s="719"/>
      <c r="K128" s="708"/>
      <c r="L128" s="719"/>
      <c r="M128" s="708"/>
      <c r="N128" s="719"/>
      <c r="O128" s="708"/>
      <c r="T128" s="708">
        <v>0</v>
      </c>
      <c r="U128" s="708"/>
      <c r="V128" s="708">
        <v>0</v>
      </c>
      <c r="W128" s="708"/>
      <c r="X128" s="708">
        <v>0</v>
      </c>
      <c r="Y128" s="708"/>
      <c r="Z128" s="708">
        <f t="shared" si="94"/>
        <v>0</v>
      </c>
      <c r="AA128" s="708"/>
      <c r="AB128" s="708"/>
      <c r="AC128" s="708"/>
      <c r="AD128" s="719"/>
      <c r="AE128" s="708"/>
      <c r="AF128" s="719"/>
      <c r="AG128" s="708"/>
      <c r="AH128" s="719"/>
      <c r="AI128" s="708"/>
      <c r="AJ128" s="708"/>
      <c r="AK128" s="708"/>
      <c r="AL128" s="607">
        <f t="shared" si="95"/>
        <v>0</v>
      </c>
      <c r="AM128" s="708"/>
      <c r="AN128" s="607">
        <f t="shared" si="95"/>
        <v>0</v>
      </c>
      <c r="AO128" s="708"/>
      <c r="AP128" s="607">
        <f t="shared" si="95"/>
        <v>0</v>
      </c>
      <c r="AQ128" s="708"/>
      <c r="AR128" s="708">
        <f t="shared" si="93"/>
        <v>0</v>
      </c>
      <c r="AT128" s="719"/>
      <c r="AU128" s="708"/>
      <c r="AV128" s="719"/>
      <c r="AW128" s="708"/>
      <c r="AX128" s="719"/>
      <c r="AY128" s="708"/>
      <c r="AZ128" s="607">
        <f t="shared" si="96"/>
        <v>0</v>
      </c>
      <c r="BA128" s="708"/>
      <c r="BB128" s="607">
        <f t="shared" si="96"/>
        <v>0</v>
      </c>
      <c r="BC128" s="708"/>
      <c r="BD128" s="607">
        <f t="shared" si="96"/>
        <v>0</v>
      </c>
      <c r="BE128" s="708"/>
      <c r="BF128" s="708">
        <f t="shared" si="97"/>
        <v>0</v>
      </c>
      <c r="BG128" s="708"/>
      <c r="BH128" s="708">
        <f>+BF128*$BH$9</f>
        <v>0</v>
      </c>
      <c r="BJ128" s="592">
        <f t="shared" si="91"/>
        <v>705</v>
      </c>
    </row>
    <row r="132" spans="1:11">
      <c r="A132" s="701" t="s">
        <v>111</v>
      </c>
      <c r="B132" s="864" t="s">
        <v>1532</v>
      </c>
      <c r="C132" s="864"/>
      <c r="D132" s="864"/>
    </row>
    <row r="133" spans="1:11" ht="24" customHeight="1">
      <c r="A133" s="700" t="s">
        <v>1403</v>
      </c>
      <c r="B133" s="857" t="s">
        <v>1533</v>
      </c>
      <c r="C133" s="857"/>
      <c r="D133" s="857"/>
    </row>
    <row r="134" spans="1:11">
      <c r="A134" s="700" t="s">
        <v>1408</v>
      </c>
      <c r="B134" s="857" t="s">
        <v>1534</v>
      </c>
      <c r="C134" s="857"/>
      <c r="D134" s="857"/>
    </row>
    <row r="135" spans="1:11">
      <c r="A135" s="700" t="s">
        <v>1410</v>
      </c>
      <c r="B135" s="857" t="s">
        <v>1509</v>
      </c>
      <c r="C135" s="857"/>
      <c r="D135" s="857"/>
    </row>
    <row r="136" spans="1:11">
      <c r="A136" s="700" t="s">
        <v>1413</v>
      </c>
      <c r="B136" s="857" t="s">
        <v>1510</v>
      </c>
      <c r="C136" s="857"/>
      <c r="D136" s="857"/>
    </row>
    <row r="137" spans="1:11">
      <c r="A137" s="700" t="s">
        <v>1419</v>
      </c>
      <c r="B137" s="857" t="s">
        <v>1511</v>
      </c>
      <c r="C137" s="857"/>
      <c r="D137" s="857"/>
    </row>
    <row r="138" spans="1:11" ht="12.75" customHeight="1">
      <c r="A138" s="700" t="s">
        <v>1381</v>
      </c>
      <c r="B138" s="857" t="s">
        <v>1512</v>
      </c>
      <c r="C138" s="857"/>
      <c r="D138" s="857"/>
      <c r="E138" s="728"/>
      <c r="F138" s="728"/>
    </row>
    <row r="139" spans="1:11">
      <c r="A139" s="700" t="s">
        <v>1513</v>
      </c>
      <c r="B139" s="857" t="s">
        <v>1514</v>
      </c>
      <c r="C139" s="857"/>
      <c r="D139" s="857"/>
    </row>
    <row r="144" spans="1:11">
      <c r="K144" s="701" t="e">
        <f>E30/E144*E151</f>
        <v>#DIV/0!</v>
      </c>
    </row>
    <row r="160" spans="10:10">
      <c r="J160" s="701">
        <f>E160-D160</f>
        <v>0</v>
      </c>
    </row>
  </sheetData>
  <mergeCells count="17">
    <mergeCell ref="B134:D134"/>
    <mergeCell ref="J4:N4"/>
    <mergeCell ref="T4:X4"/>
    <mergeCell ref="AL4:AP4"/>
    <mergeCell ref="AZ4:BD4"/>
    <mergeCell ref="AD6:AH6"/>
    <mergeCell ref="AT6:AX6"/>
    <mergeCell ref="T7:Z7"/>
    <mergeCell ref="AL7:AR7"/>
    <mergeCell ref="AZ7:BF7"/>
    <mergeCell ref="B132:D132"/>
    <mergeCell ref="B133:D133"/>
    <mergeCell ref="B135:D135"/>
    <mergeCell ref="B136:D136"/>
    <mergeCell ref="B137:D137"/>
    <mergeCell ref="B138:D138"/>
    <mergeCell ref="B139:D139"/>
  </mergeCells>
  <printOptions horizontalCentered="1"/>
  <pageMargins left="1" right="1" top="1" bottom="1" header="0.5" footer="0.5"/>
  <pageSetup scale="13"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olBreaks count="3" manualBreakCount="3">
    <brk id="17" max="1048575" man="1"/>
    <brk id="37" max="1048575" man="1"/>
    <brk id="51" max="1048575" man="1"/>
  </colBreaks>
  <customProperties>
    <customPr name="_pios_id" r:id="rId2"/>
    <customPr name="EpmWorksheetKeyString_GUID" r:id="rId3"/>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160"/>
  <sheetViews>
    <sheetView tabSelected="1" view="pageBreakPreview" topLeftCell="H1" zoomScale="55" zoomScaleNormal="80" zoomScaleSheetLayoutView="55" zoomScalePageLayoutView="55" workbookViewId="0">
      <selection activeCell="E174" sqref="E174"/>
    </sheetView>
  </sheetViews>
  <sheetFormatPr defaultColWidth="9.1796875" defaultRowHeight="14.5"/>
  <cols>
    <col min="1" max="1" width="7.1796875" bestFit="1" customWidth="1"/>
    <col min="2" max="2" width="8.81640625" customWidth="1"/>
    <col min="3" max="3" width="37.1796875" customWidth="1"/>
    <col min="4" max="5" width="17.81640625" bestFit="1" customWidth="1"/>
    <col min="6" max="6" width="18.26953125" bestFit="1" customWidth="1"/>
    <col min="7" max="7" width="16.7265625" bestFit="1" customWidth="1"/>
    <col min="8" max="9" width="17.7265625" bestFit="1" customWidth="1"/>
    <col min="10" max="10" width="13.453125" customWidth="1"/>
    <col min="11" max="11" width="25.1796875" customWidth="1"/>
    <col min="12" max="12" width="18.26953125" bestFit="1" customWidth="1"/>
    <col min="13" max="13" width="17.81640625" customWidth="1"/>
    <col min="14" max="14" width="17.26953125" bestFit="1" customWidth="1"/>
    <col min="15" max="15" width="17.453125" bestFit="1" customWidth="1"/>
    <col min="16" max="16" width="21.7265625" bestFit="1" customWidth="1"/>
    <col min="17" max="17" width="9.1796875" customWidth="1"/>
  </cols>
  <sheetData>
    <row r="1" spans="1:17">
      <c r="B1" s="12" t="s">
        <v>51</v>
      </c>
      <c r="L1" s="15"/>
      <c r="P1" s="15" t="str">
        <f>CONCATENATE("Prior Year: ",'1-BaseTRR'!$G$2)</f>
        <v>Prior Year: 2021</v>
      </c>
    </row>
    <row r="2" spans="1:17">
      <c r="B2" s="119" t="s">
        <v>131</v>
      </c>
      <c r="C2" s="50"/>
      <c r="L2" s="15"/>
      <c r="M2" s="15"/>
    </row>
    <row r="4" spans="1:17" ht="15" customHeight="1">
      <c r="B4" s="144" t="s">
        <v>1535</v>
      </c>
      <c r="C4" s="12"/>
      <c r="D4" s="12"/>
      <c r="F4" s="426">
        <f>P10</f>
        <v>648895032.04825652</v>
      </c>
    </row>
    <row r="5" spans="1:17">
      <c r="A5" s="13"/>
      <c r="I5" s="338"/>
      <c r="N5" s="13"/>
    </row>
    <row r="6" spans="1:17">
      <c r="B6" s="13" t="s">
        <v>371</v>
      </c>
      <c r="C6" s="13" t="s">
        <v>372</v>
      </c>
      <c r="D6" s="13" t="s">
        <v>373</v>
      </c>
      <c r="E6" s="13" t="s">
        <v>374</v>
      </c>
      <c r="F6" s="13" t="s">
        <v>375</v>
      </c>
      <c r="G6" s="13" t="s">
        <v>376</v>
      </c>
      <c r="H6" s="13" t="s">
        <v>377</v>
      </c>
      <c r="I6" s="13" t="s">
        <v>378</v>
      </c>
      <c r="J6" s="13" t="s">
        <v>409</v>
      </c>
      <c r="K6" s="13" t="s">
        <v>525</v>
      </c>
      <c r="L6" s="13" t="s">
        <v>526</v>
      </c>
      <c r="M6" s="13" t="s">
        <v>527</v>
      </c>
      <c r="N6" s="13" t="s">
        <v>528</v>
      </c>
      <c r="O6" s="13" t="s">
        <v>529</v>
      </c>
      <c r="P6" s="13" t="s">
        <v>1345</v>
      </c>
      <c r="Q6" s="13"/>
    </row>
    <row r="7" spans="1:17">
      <c r="A7" s="16" t="s">
        <v>135</v>
      </c>
      <c r="B7" s="30"/>
      <c r="C7" s="30"/>
      <c r="D7" s="30" t="s">
        <v>111</v>
      </c>
      <c r="E7" s="30" t="s">
        <v>111</v>
      </c>
      <c r="F7" s="5" t="s">
        <v>1536</v>
      </c>
      <c r="G7" s="30" t="s">
        <v>1537</v>
      </c>
      <c r="H7" s="30" t="s">
        <v>1537</v>
      </c>
      <c r="I7" s="30" t="s">
        <v>1215</v>
      </c>
      <c r="J7" s="30" t="s">
        <v>1538</v>
      </c>
      <c r="K7" s="30" t="s">
        <v>1539</v>
      </c>
      <c r="L7" s="30" t="s">
        <v>1540</v>
      </c>
      <c r="M7" s="30" t="s">
        <v>251</v>
      </c>
      <c r="N7" s="30" t="s">
        <v>1541</v>
      </c>
      <c r="O7" s="30" t="s">
        <v>1542</v>
      </c>
      <c r="P7" s="30" t="s">
        <v>1543</v>
      </c>
    </row>
    <row r="8" spans="1:17" ht="28.5" customHeight="1">
      <c r="B8" s="871" t="s">
        <v>647</v>
      </c>
      <c r="C8" s="873" t="s">
        <v>1544</v>
      </c>
      <c r="D8" s="873" t="s">
        <v>1545</v>
      </c>
      <c r="E8" s="868"/>
      <c r="F8" s="868"/>
      <c r="G8" s="865" t="s">
        <v>650</v>
      </c>
      <c r="H8" s="866"/>
      <c r="I8" s="867"/>
      <c r="J8" s="868" t="s">
        <v>1546</v>
      </c>
      <c r="K8" s="868"/>
      <c r="L8" s="868"/>
      <c r="M8" s="871" t="s">
        <v>1547</v>
      </c>
      <c r="N8" s="868" t="s">
        <v>1548</v>
      </c>
      <c r="O8" s="868"/>
      <c r="P8" s="868"/>
    </row>
    <row r="9" spans="1:17">
      <c r="A9" s="13" t="s">
        <v>100</v>
      </c>
      <c r="B9" s="872"/>
      <c r="C9" s="873"/>
      <c r="D9" s="337" t="s">
        <v>1549</v>
      </c>
      <c r="E9" s="337" t="s">
        <v>1550</v>
      </c>
      <c r="F9" s="337" t="s">
        <v>465</v>
      </c>
      <c r="G9" s="337" t="s">
        <v>1549</v>
      </c>
      <c r="H9" s="337" t="s">
        <v>1550</v>
      </c>
      <c r="I9" s="337" t="s">
        <v>465</v>
      </c>
      <c r="J9" s="337" t="s">
        <v>1549</v>
      </c>
      <c r="K9" s="337" t="s">
        <v>1550</v>
      </c>
      <c r="L9" s="337" t="s">
        <v>465</v>
      </c>
      <c r="M9" s="872"/>
      <c r="N9" s="337" t="s">
        <v>1549</v>
      </c>
      <c r="O9" s="337" t="s">
        <v>1550</v>
      </c>
      <c r="P9" s="337" t="s">
        <v>465</v>
      </c>
      <c r="Q9" s="13" t="s">
        <v>100</v>
      </c>
    </row>
    <row r="10" spans="1:17" ht="15" thickBot="1">
      <c r="A10" s="8">
        <v>100</v>
      </c>
      <c r="B10" s="870" t="s">
        <v>1551</v>
      </c>
      <c r="C10" s="870"/>
      <c r="D10" s="533">
        <f t="shared" ref="D10:L10" si="0">SUM(D11:D37)</f>
        <v>202782008.71000013</v>
      </c>
      <c r="E10" s="533">
        <f t="shared" si="0"/>
        <v>531634793.75999993</v>
      </c>
      <c r="F10" s="533">
        <f t="shared" si="0"/>
        <v>734416802.47000027</v>
      </c>
      <c r="G10" s="533">
        <f t="shared" si="0"/>
        <v>-5852445.3100000033</v>
      </c>
      <c r="H10" s="533">
        <f t="shared" si="0"/>
        <v>-46336300.869999997</v>
      </c>
      <c r="I10" s="533">
        <f t="shared" si="0"/>
        <v>-52188746.180000007</v>
      </c>
      <c r="J10" s="533">
        <f t="shared" si="0"/>
        <v>196929563.40000007</v>
      </c>
      <c r="K10" s="533">
        <f t="shared" si="0"/>
        <v>485298492.88999993</v>
      </c>
      <c r="L10" s="533">
        <f t="shared" si="0"/>
        <v>682228056.29000008</v>
      </c>
      <c r="M10" s="533"/>
      <c r="N10" s="533">
        <f>SUM(N11:N37)</f>
        <v>187300588.22888961</v>
      </c>
      <c r="O10" s="533">
        <f>SUM(O11:O37)</f>
        <v>461594443.81936717</v>
      </c>
      <c r="P10" s="533">
        <f>SUM(P11:P37)</f>
        <v>648895032.04825652</v>
      </c>
      <c r="Q10" s="8">
        <f>A10</f>
        <v>100</v>
      </c>
    </row>
    <row r="11" spans="1:17" ht="15" thickTop="1">
      <c r="A11" s="8">
        <f>A10+1</f>
        <v>101</v>
      </c>
      <c r="B11" s="164">
        <v>560</v>
      </c>
      <c r="C11" s="45" t="s">
        <v>1552</v>
      </c>
      <c r="D11" s="498">
        <v>1504678.25</v>
      </c>
      <c r="E11" s="498">
        <v>1934089.99</v>
      </c>
      <c r="F11" s="443">
        <f t="shared" ref="F11:F37" si="1">D11+E11</f>
        <v>3438768.24</v>
      </c>
      <c r="G11" s="498">
        <v>0</v>
      </c>
      <c r="H11" s="498">
        <v>0</v>
      </c>
      <c r="I11" s="443">
        <f>G11+H11</f>
        <v>0</v>
      </c>
      <c r="J11" s="443">
        <f t="shared" ref="J11:J37" si="2">D11+G11</f>
        <v>1504678.25</v>
      </c>
      <c r="K11" s="443">
        <f t="shared" ref="K11:K37" si="3">E11+H11</f>
        <v>1934089.99</v>
      </c>
      <c r="L11" s="443">
        <f t="shared" ref="L11:L37" si="4">J11+K11</f>
        <v>3438768.24</v>
      </c>
      <c r="M11" s="336">
        <f>'24-Allocators'!$C$37</f>
        <v>0.951104471035909</v>
      </c>
      <c r="N11" s="447">
        <f t="shared" ref="N11:N37" si="5">J11*M11</f>
        <v>1431106.2110454873</v>
      </c>
      <c r="O11" s="447">
        <f t="shared" ref="O11:O37" si="6">K11*M11</f>
        <v>1839521.6368747966</v>
      </c>
      <c r="P11" s="447">
        <f t="shared" ref="P11:P37" si="7">N11+O11</f>
        <v>3270627.8479202837</v>
      </c>
      <c r="Q11" s="8">
        <f t="shared" ref="Q11:Q37" si="8">A11</f>
        <v>101</v>
      </c>
    </row>
    <row r="12" spans="1:17">
      <c r="A12" s="8">
        <f t="shared" ref="A12:A37" si="9">A11+1</f>
        <v>102</v>
      </c>
      <c r="B12" s="164">
        <v>561.1</v>
      </c>
      <c r="C12" s="45" t="s">
        <v>1553</v>
      </c>
      <c r="D12" s="498">
        <v>0</v>
      </c>
      <c r="E12" s="498">
        <v>0</v>
      </c>
      <c r="F12" s="443">
        <f t="shared" si="1"/>
        <v>0</v>
      </c>
      <c r="G12" s="498">
        <v>0</v>
      </c>
      <c r="H12" s="498">
        <v>0</v>
      </c>
      <c r="I12" s="443">
        <f t="shared" ref="I12:I37" si="10">G12+H12</f>
        <v>0</v>
      </c>
      <c r="J12" s="443">
        <f t="shared" si="2"/>
        <v>0</v>
      </c>
      <c r="K12" s="443">
        <f t="shared" si="3"/>
        <v>0</v>
      </c>
      <c r="L12" s="443">
        <f t="shared" si="4"/>
        <v>0</v>
      </c>
      <c r="M12" s="336">
        <f>'24-Allocators'!$C$37</f>
        <v>0.951104471035909</v>
      </c>
      <c r="N12" s="447">
        <f t="shared" si="5"/>
        <v>0</v>
      </c>
      <c r="O12" s="447">
        <f t="shared" si="6"/>
        <v>0</v>
      </c>
      <c r="P12" s="447">
        <f t="shared" si="7"/>
        <v>0</v>
      </c>
      <c r="Q12" s="8">
        <f t="shared" si="8"/>
        <v>102</v>
      </c>
    </row>
    <row r="13" spans="1:17" ht="29">
      <c r="A13" s="8">
        <f t="shared" si="9"/>
        <v>103</v>
      </c>
      <c r="B13" s="164">
        <v>561.20000000000005</v>
      </c>
      <c r="C13" s="308" t="s">
        <v>1554</v>
      </c>
      <c r="D13" s="498">
        <v>36808540.600000001</v>
      </c>
      <c r="E13" s="498">
        <v>4333802.29</v>
      </c>
      <c r="F13" s="443">
        <f t="shared" si="1"/>
        <v>41142342.890000001</v>
      </c>
      <c r="G13" s="498">
        <v>0</v>
      </c>
      <c r="H13" s="498">
        <v>0</v>
      </c>
      <c r="I13" s="443">
        <f t="shared" si="10"/>
        <v>0</v>
      </c>
      <c r="J13" s="443">
        <f t="shared" si="2"/>
        <v>36808540.600000001</v>
      </c>
      <c r="K13" s="443">
        <f t="shared" si="3"/>
        <v>4333802.29</v>
      </c>
      <c r="L13" s="443">
        <f t="shared" si="4"/>
        <v>41142342.890000001</v>
      </c>
      <c r="M13" s="336">
        <f>'24-Allocators'!$C$37</f>
        <v>0.951104471035909</v>
      </c>
      <c r="N13" s="447">
        <f t="shared" si="5"/>
        <v>35008767.536966786</v>
      </c>
      <c r="O13" s="447">
        <f t="shared" si="6"/>
        <v>4121898.7346046614</v>
      </c>
      <c r="P13" s="447">
        <f t="shared" si="7"/>
        <v>39130666.27157145</v>
      </c>
      <c r="Q13" s="8">
        <f t="shared" si="8"/>
        <v>103</v>
      </c>
    </row>
    <row r="14" spans="1:17" ht="29">
      <c r="A14" s="8">
        <f t="shared" si="9"/>
        <v>104</v>
      </c>
      <c r="B14" s="164">
        <v>561.30000000000007</v>
      </c>
      <c r="C14" s="45" t="s">
        <v>1555</v>
      </c>
      <c r="D14" s="498">
        <v>0</v>
      </c>
      <c r="E14" s="498">
        <v>0</v>
      </c>
      <c r="F14" s="443">
        <f t="shared" si="1"/>
        <v>0</v>
      </c>
      <c r="G14" s="498">
        <v>0</v>
      </c>
      <c r="H14" s="498">
        <v>0</v>
      </c>
      <c r="I14" s="443">
        <f t="shared" si="10"/>
        <v>0</v>
      </c>
      <c r="J14" s="443">
        <f t="shared" si="2"/>
        <v>0</v>
      </c>
      <c r="K14" s="443">
        <f t="shared" si="3"/>
        <v>0</v>
      </c>
      <c r="L14" s="443">
        <f t="shared" si="4"/>
        <v>0</v>
      </c>
      <c r="M14" s="336">
        <f>'24-Allocators'!$C$37</f>
        <v>0.951104471035909</v>
      </c>
      <c r="N14" s="447">
        <f t="shared" si="5"/>
        <v>0</v>
      </c>
      <c r="O14" s="447">
        <f t="shared" si="6"/>
        <v>0</v>
      </c>
      <c r="P14" s="447">
        <f t="shared" si="7"/>
        <v>0</v>
      </c>
      <c r="Q14" s="8">
        <f t="shared" si="8"/>
        <v>104</v>
      </c>
    </row>
    <row r="15" spans="1:17" ht="29">
      <c r="A15" s="8">
        <f t="shared" si="9"/>
        <v>105</v>
      </c>
      <c r="B15" s="164">
        <v>561.40000000000009</v>
      </c>
      <c r="C15" s="308" t="s">
        <v>1556</v>
      </c>
      <c r="D15" s="498">
        <v>0</v>
      </c>
      <c r="E15" s="498">
        <v>16661312.83</v>
      </c>
      <c r="F15" s="443">
        <f t="shared" si="1"/>
        <v>16661312.83</v>
      </c>
      <c r="G15" s="498">
        <v>0</v>
      </c>
      <c r="H15" s="498">
        <v>-16661312.829999998</v>
      </c>
      <c r="I15" s="443">
        <f t="shared" si="10"/>
        <v>-16661312.829999998</v>
      </c>
      <c r="J15" s="443">
        <f t="shared" si="2"/>
        <v>0</v>
      </c>
      <c r="K15" s="443">
        <f t="shared" si="3"/>
        <v>0</v>
      </c>
      <c r="L15" s="443">
        <f t="shared" si="4"/>
        <v>0</v>
      </c>
      <c r="M15" s="336">
        <f>'24-Allocators'!$C$37</f>
        <v>0.951104471035909</v>
      </c>
      <c r="N15" s="447">
        <f t="shared" si="5"/>
        <v>0</v>
      </c>
      <c r="O15" s="447">
        <f t="shared" si="6"/>
        <v>0</v>
      </c>
      <c r="P15" s="447">
        <f t="shared" si="7"/>
        <v>0</v>
      </c>
      <c r="Q15" s="8">
        <f t="shared" si="8"/>
        <v>105</v>
      </c>
    </row>
    <row r="16" spans="1:17" ht="29">
      <c r="A16" s="8">
        <f t="shared" si="9"/>
        <v>106</v>
      </c>
      <c r="B16" s="164">
        <v>561.50000000000011</v>
      </c>
      <c r="C16" s="45" t="s">
        <v>1557</v>
      </c>
      <c r="D16" s="498">
        <v>0</v>
      </c>
      <c r="E16" s="498">
        <v>0</v>
      </c>
      <c r="F16" s="443">
        <f t="shared" si="1"/>
        <v>0</v>
      </c>
      <c r="G16" s="498">
        <v>0</v>
      </c>
      <c r="H16" s="498">
        <v>0</v>
      </c>
      <c r="I16" s="443">
        <f t="shared" si="10"/>
        <v>0</v>
      </c>
      <c r="J16" s="443">
        <f t="shared" si="2"/>
        <v>0</v>
      </c>
      <c r="K16" s="443">
        <f t="shared" si="3"/>
        <v>0</v>
      </c>
      <c r="L16" s="443">
        <f t="shared" si="4"/>
        <v>0</v>
      </c>
      <c r="M16" s="336">
        <f>'24-Allocators'!$C$37</f>
        <v>0.951104471035909</v>
      </c>
      <c r="N16" s="447">
        <f t="shared" si="5"/>
        <v>0</v>
      </c>
      <c r="O16" s="447">
        <f t="shared" si="6"/>
        <v>0</v>
      </c>
      <c r="P16" s="447">
        <f t="shared" si="7"/>
        <v>0</v>
      </c>
      <c r="Q16" s="8">
        <f t="shared" si="8"/>
        <v>106</v>
      </c>
    </row>
    <row r="17" spans="1:17">
      <c r="A17" s="8">
        <f t="shared" si="9"/>
        <v>107</v>
      </c>
      <c r="B17" s="164">
        <v>561.60000000000014</v>
      </c>
      <c r="C17" s="45" t="s">
        <v>1558</v>
      </c>
      <c r="D17" s="498">
        <v>0</v>
      </c>
      <c r="E17" s="498">
        <v>0</v>
      </c>
      <c r="F17" s="443">
        <f t="shared" si="1"/>
        <v>0</v>
      </c>
      <c r="G17" s="498">
        <v>0</v>
      </c>
      <c r="H17" s="498">
        <v>0</v>
      </c>
      <c r="I17" s="443">
        <f t="shared" si="10"/>
        <v>0</v>
      </c>
      <c r="J17" s="443">
        <f t="shared" si="2"/>
        <v>0</v>
      </c>
      <c r="K17" s="443">
        <f t="shared" si="3"/>
        <v>0</v>
      </c>
      <c r="L17" s="443">
        <f t="shared" si="4"/>
        <v>0</v>
      </c>
      <c r="M17" s="336">
        <f>'24-Allocators'!$C$37</f>
        <v>0.951104471035909</v>
      </c>
      <c r="N17" s="447">
        <f t="shared" si="5"/>
        <v>0</v>
      </c>
      <c r="O17" s="447">
        <f t="shared" si="6"/>
        <v>0</v>
      </c>
      <c r="P17" s="447">
        <f t="shared" si="7"/>
        <v>0</v>
      </c>
      <c r="Q17" s="8">
        <f t="shared" si="8"/>
        <v>107</v>
      </c>
    </row>
    <row r="18" spans="1:17">
      <c r="A18" s="8">
        <f t="shared" si="9"/>
        <v>108</v>
      </c>
      <c r="B18" s="164">
        <v>561.70000000000016</v>
      </c>
      <c r="C18" s="45" t="s">
        <v>1559</v>
      </c>
      <c r="D18" s="498">
        <v>0</v>
      </c>
      <c r="E18" s="498">
        <v>0</v>
      </c>
      <c r="F18" s="443">
        <f t="shared" si="1"/>
        <v>0</v>
      </c>
      <c r="G18" s="498">
        <v>0</v>
      </c>
      <c r="H18" s="498">
        <v>0</v>
      </c>
      <c r="I18" s="443">
        <f t="shared" si="10"/>
        <v>0</v>
      </c>
      <c r="J18" s="443">
        <f t="shared" si="2"/>
        <v>0</v>
      </c>
      <c r="K18" s="443">
        <f t="shared" si="3"/>
        <v>0</v>
      </c>
      <c r="L18" s="443">
        <f t="shared" si="4"/>
        <v>0</v>
      </c>
      <c r="M18" s="336">
        <f>'24-Allocators'!$C$37</f>
        <v>0.951104471035909</v>
      </c>
      <c r="N18" s="447">
        <f t="shared" si="5"/>
        <v>0</v>
      </c>
      <c r="O18" s="447">
        <f t="shared" si="6"/>
        <v>0</v>
      </c>
      <c r="P18" s="447">
        <f t="shared" si="7"/>
        <v>0</v>
      </c>
      <c r="Q18" s="8">
        <f t="shared" si="8"/>
        <v>108</v>
      </c>
    </row>
    <row r="19" spans="1:17" ht="29">
      <c r="A19" s="8">
        <f t="shared" si="9"/>
        <v>109</v>
      </c>
      <c r="B19" s="164">
        <v>561.80000000000018</v>
      </c>
      <c r="C19" s="308" t="s">
        <v>1560</v>
      </c>
      <c r="D19" s="498">
        <v>0</v>
      </c>
      <c r="E19" s="498">
        <v>7676158.4699999997</v>
      </c>
      <c r="F19" s="443">
        <f t="shared" si="1"/>
        <v>7676158.4699999997</v>
      </c>
      <c r="G19" s="498">
        <v>0</v>
      </c>
      <c r="H19" s="498">
        <v>-7676158.4699999988</v>
      </c>
      <c r="I19" s="443">
        <f t="shared" si="10"/>
        <v>-7676158.4699999988</v>
      </c>
      <c r="J19" s="443">
        <f t="shared" si="2"/>
        <v>0</v>
      </c>
      <c r="K19" s="443">
        <f t="shared" si="3"/>
        <v>0</v>
      </c>
      <c r="L19" s="443">
        <f t="shared" si="4"/>
        <v>0</v>
      </c>
      <c r="M19" s="336">
        <f>'24-Allocators'!$C$37</f>
        <v>0.951104471035909</v>
      </c>
      <c r="N19" s="447">
        <f t="shared" si="5"/>
        <v>0</v>
      </c>
      <c r="O19" s="447">
        <f t="shared" si="6"/>
        <v>0</v>
      </c>
      <c r="P19" s="447">
        <f t="shared" si="7"/>
        <v>0</v>
      </c>
      <c r="Q19" s="8">
        <f t="shared" si="8"/>
        <v>109</v>
      </c>
    </row>
    <row r="20" spans="1:17">
      <c r="A20" s="8">
        <f t="shared" si="9"/>
        <v>110</v>
      </c>
      <c r="B20" s="164">
        <v>562</v>
      </c>
      <c r="C20" s="45" t="s">
        <v>1561</v>
      </c>
      <c r="D20" s="498">
        <v>6446670.9400000004</v>
      </c>
      <c r="E20" s="498">
        <v>3292004.35</v>
      </c>
      <c r="F20" s="443">
        <f t="shared" si="1"/>
        <v>9738675.290000001</v>
      </c>
      <c r="G20" s="498">
        <v>0</v>
      </c>
      <c r="H20" s="498">
        <v>-8034</v>
      </c>
      <c r="I20" s="443">
        <f t="shared" si="10"/>
        <v>-8034</v>
      </c>
      <c r="J20" s="443">
        <f t="shared" si="2"/>
        <v>6446670.9400000004</v>
      </c>
      <c r="K20" s="443">
        <f t="shared" si="3"/>
        <v>3283970.35</v>
      </c>
      <c r="L20" s="443">
        <f t="shared" si="4"/>
        <v>9730641.290000001</v>
      </c>
      <c r="M20" s="336">
        <f>'24-Allocators'!$C$37</f>
        <v>0.951104471035909</v>
      </c>
      <c r="N20" s="447">
        <f t="shared" si="5"/>
        <v>6131457.5543312663</v>
      </c>
      <c r="O20" s="447">
        <f t="shared" si="6"/>
        <v>3123398.8826343589</v>
      </c>
      <c r="P20" s="447">
        <f t="shared" si="7"/>
        <v>9254856.4369656257</v>
      </c>
      <c r="Q20" s="8">
        <f t="shared" si="8"/>
        <v>110</v>
      </c>
    </row>
    <row r="21" spans="1:17">
      <c r="A21" s="8">
        <f t="shared" si="9"/>
        <v>111</v>
      </c>
      <c r="B21" s="164">
        <v>562.1</v>
      </c>
      <c r="C21" s="45" t="s">
        <v>1562</v>
      </c>
      <c r="D21" s="498">
        <v>0</v>
      </c>
      <c r="E21" s="498">
        <v>0</v>
      </c>
      <c r="F21" s="443">
        <f t="shared" si="1"/>
        <v>0</v>
      </c>
      <c r="G21" s="498">
        <v>0</v>
      </c>
      <c r="H21" s="498">
        <v>0</v>
      </c>
      <c r="I21" s="443">
        <f t="shared" si="10"/>
        <v>0</v>
      </c>
      <c r="J21" s="443">
        <f t="shared" si="2"/>
        <v>0</v>
      </c>
      <c r="K21" s="443">
        <f t="shared" si="3"/>
        <v>0</v>
      </c>
      <c r="L21" s="443">
        <f t="shared" si="4"/>
        <v>0</v>
      </c>
      <c r="M21" s="336">
        <f>'24-Allocators'!$C$37</f>
        <v>0.951104471035909</v>
      </c>
      <c r="N21" s="447">
        <f t="shared" si="5"/>
        <v>0</v>
      </c>
      <c r="O21" s="447">
        <f t="shared" si="6"/>
        <v>0</v>
      </c>
      <c r="P21" s="447">
        <f t="shared" si="7"/>
        <v>0</v>
      </c>
      <c r="Q21" s="8">
        <f t="shared" si="8"/>
        <v>111</v>
      </c>
    </row>
    <row r="22" spans="1:17">
      <c r="A22" s="8">
        <f t="shared" si="9"/>
        <v>112</v>
      </c>
      <c r="B22" s="164">
        <v>563</v>
      </c>
      <c r="C22" s="45" t="s">
        <v>1563</v>
      </c>
      <c r="D22" s="498">
        <v>10341705.949999999</v>
      </c>
      <c r="E22" s="498">
        <v>105631976.42</v>
      </c>
      <c r="F22" s="443">
        <f t="shared" si="1"/>
        <v>115973682.37</v>
      </c>
      <c r="G22" s="498">
        <v>-3420.0199999999995</v>
      </c>
      <c r="H22" s="498">
        <v>-502271.66</v>
      </c>
      <c r="I22" s="443">
        <f t="shared" si="10"/>
        <v>-505691.68</v>
      </c>
      <c r="J22" s="443">
        <f t="shared" si="2"/>
        <v>10338285.93</v>
      </c>
      <c r="K22" s="443">
        <f t="shared" si="3"/>
        <v>105129704.76000001</v>
      </c>
      <c r="L22" s="443">
        <f t="shared" si="4"/>
        <v>115467990.69</v>
      </c>
      <c r="M22" s="336">
        <f>'24-Allocators'!$C$37</f>
        <v>0.951104471035909</v>
      </c>
      <c r="N22" s="447">
        <f t="shared" si="5"/>
        <v>9832789.9708706308</v>
      </c>
      <c r="O22" s="447">
        <f t="shared" si="6"/>
        <v>99989332.235921085</v>
      </c>
      <c r="P22" s="447">
        <f t="shared" si="7"/>
        <v>109822122.20679171</v>
      </c>
      <c r="Q22" s="8">
        <f t="shared" si="8"/>
        <v>112</v>
      </c>
    </row>
    <row r="23" spans="1:17">
      <c r="A23" s="8">
        <f t="shared" si="9"/>
        <v>113</v>
      </c>
      <c r="B23" s="164">
        <v>564</v>
      </c>
      <c r="C23" s="45" t="s">
        <v>1564</v>
      </c>
      <c r="D23" s="498">
        <v>286890.23999999999</v>
      </c>
      <c r="E23" s="498">
        <v>11393.44</v>
      </c>
      <c r="F23" s="443">
        <f t="shared" si="1"/>
        <v>298283.68</v>
      </c>
      <c r="G23" s="498">
        <v>-20228.53</v>
      </c>
      <c r="H23" s="498">
        <v>-1172.67</v>
      </c>
      <c r="I23" s="443">
        <f t="shared" si="10"/>
        <v>-21401.199999999997</v>
      </c>
      <c r="J23" s="443">
        <f t="shared" si="2"/>
        <v>266661.70999999996</v>
      </c>
      <c r="K23" s="443">
        <f t="shared" si="3"/>
        <v>10220.77</v>
      </c>
      <c r="L23" s="443">
        <f t="shared" si="4"/>
        <v>276882.48</v>
      </c>
      <c r="M23" s="336">
        <f>'24-Allocators'!$C$37</f>
        <v>0.951104471035909</v>
      </c>
      <c r="N23" s="447">
        <f t="shared" si="5"/>
        <v>253623.14463508094</v>
      </c>
      <c r="O23" s="447">
        <f t="shared" si="6"/>
        <v>9721.0200444296879</v>
      </c>
      <c r="P23" s="447">
        <f t="shared" si="7"/>
        <v>263344.16467951064</v>
      </c>
      <c r="Q23" s="8">
        <f t="shared" si="8"/>
        <v>113</v>
      </c>
    </row>
    <row r="24" spans="1:17">
      <c r="A24" s="8">
        <f t="shared" si="9"/>
        <v>114</v>
      </c>
      <c r="B24" s="164">
        <v>565</v>
      </c>
      <c r="C24" s="45" t="s">
        <v>1565</v>
      </c>
      <c r="D24" s="498">
        <v>0</v>
      </c>
      <c r="E24" s="498">
        <v>508787.72</v>
      </c>
      <c r="F24" s="443">
        <f t="shared" si="1"/>
        <v>508787.72</v>
      </c>
      <c r="G24" s="498">
        <v>0</v>
      </c>
      <c r="H24" s="498">
        <v>0</v>
      </c>
      <c r="I24" s="443">
        <f t="shared" si="10"/>
        <v>0</v>
      </c>
      <c r="J24" s="443">
        <f t="shared" si="2"/>
        <v>0</v>
      </c>
      <c r="K24" s="443">
        <f t="shared" si="3"/>
        <v>508787.72</v>
      </c>
      <c r="L24" s="443">
        <f t="shared" si="4"/>
        <v>508787.72</v>
      </c>
      <c r="M24" s="448">
        <v>1</v>
      </c>
      <c r="N24" s="447">
        <f t="shared" si="5"/>
        <v>0</v>
      </c>
      <c r="O24" s="447">
        <f t="shared" si="6"/>
        <v>508787.72</v>
      </c>
      <c r="P24" s="447">
        <f t="shared" si="7"/>
        <v>508787.72</v>
      </c>
      <c r="Q24" s="8">
        <f t="shared" si="8"/>
        <v>114</v>
      </c>
    </row>
    <row r="25" spans="1:17">
      <c r="A25" s="8">
        <f t="shared" si="9"/>
        <v>115</v>
      </c>
      <c r="B25" s="164">
        <v>566</v>
      </c>
      <c r="C25" s="45" t="s">
        <v>1566</v>
      </c>
      <c r="D25" s="498">
        <v>88134438.410000101</v>
      </c>
      <c r="E25" s="498">
        <v>125153638.28</v>
      </c>
      <c r="F25" s="443">
        <f t="shared" si="1"/>
        <v>213288076.69000012</v>
      </c>
      <c r="G25" s="621">
        <v>-5605858.6800000034</v>
      </c>
      <c r="H25" s="621">
        <v>-19788681.920000002</v>
      </c>
      <c r="I25" s="443">
        <f t="shared" si="10"/>
        <v>-25394540.600000005</v>
      </c>
      <c r="J25" s="443">
        <f t="shared" si="2"/>
        <v>82528579.730000094</v>
      </c>
      <c r="K25" s="443">
        <f t="shared" si="3"/>
        <v>105364956.36</v>
      </c>
      <c r="L25" s="443">
        <f t="shared" si="4"/>
        <v>187893536.09000009</v>
      </c>
      <c r="M25" s="336">
        <f>'24-Allocators'!$C$37</f>
        <v>0.951104471035909</v>
      </c>
      <c r="N25" s="447">
        <f t="shared" si="5"/>
        <v>78493301.169446588</v>
      </c>
      <c r="O25" s="447">
        <f t="shared" si="6"/>
        <v>100213081.08449943</v>
      </c>
      <c r="P25" s="447">
        <f t="shared" si="7"/>
        <v>178706382.25394601</v>
      </c>
      <c r="Q25" s="8">
        <f t="shared" si="8"/>
        <v>115</v>
      </c>
    </row>
    <row r="26" spans="1:17">
      <c r="A26" s="8">
        <f t="shared" si="9"/>
        <v>116</v>
      </c>
      <c r="B26" s="164">
        <v>567</v>
      </c>
      <c r="C26" s="45" t="s">
        <v>1567</v>
      </c>
      <c r="D26" s="498">
        <v>0</v>
      </c>
      <c r="E26" s="498">
        <v>0</v>
      </c>
      <c r="F26" s="443">
        <f t="shared" si="1"/>
        <v>0</v>
      </c>
      <c r="G26" s="498">
        <v>0</v>
      </c>
      <c r="H26" s="498">
        <v>0</v>
      </c>
      <c r="I26" s="443">
        <f t="shared" si="10"/>
        <v>0</v>
      </c>
      <c r="J26" s="443">
        <f t="shared" si="2"/>
        <v>0</v>
      </c>
      <c r="K26" s="443">
        <f t="shared" si="3"/>
        <v>0</v>
      </c>
      <c r="L26" s="443">
        <f t="shared" si="4"/>
        <v>0</v>
      </c>
      <c r="M26" s="336">
        <f>'24-Allocators'!$C$37</f>
        <v>0.951104471035909</v>
      </c>
      <c r="N26" s="447">
        <f t="shared" si="5"/>
        <v>0</v>
      </c>
      <c r="O26" s="447">
        <f t="shared" si="6"/>
        <v>0</v>
      </c>
      <c r="P26" s="447">
        <f t="shared" si="7"/>
        <v>0</v>
      </c>
      <c r="Q26" s="8">
        <f t="shared" si="8"/>
        <v>116</v>
      </c>
    </row>
    <row r="27" spans="1:17">
      <c r="A27" s="8">
        <f t="shared" si="9"/>
        <v>117</v>
      </c>
      <c r="B27" s="164">
        <v>568</v>
      </c>
      <c r="C27" s="45" t="s">
        <v>1568</v>
      </c>
      <c r="D27" s="498">
        <v>1096464.23</v>
      </c>
      <c r="E27" s="498">
        <v>992076</v>
      </c>
      <c r="F27" s="443">
        <f t="shared" si="1"/>
        <v>2088540.23</v>
      </c>
      <c r="G27" s="498">
        <v>0</v>
      </c>
      <c r="H27" s="498">
        <v>0</v>
      </c>
      <c r="I27" s="443">
        <f t="shared" si="10"/>
        <v>0</v>
      </c>
      <c r="J27" s="443">
        <f t="shared" si="2"/>
        <v>1096464.23</v>
      </c>
      <c r="K27" s="443">
        <f t="shared" si="3"/>
        <v>992076</v>
      </c>
      <c r="L27" s="443">
        <f t="shared" si="4"/>
        <v>2088540.23</v>
      </c>
      <c r="M27" s="336">
        <f>'24-Allocators'!$C$37</f>
        <v>0.951104471035909</v>
      </c>
      <c r="N27" s="447">
        <f t="shared" si="5"/>
        <v>1042852.0314839452</v>
      </c>
      <c r="O27" s="447">
        <f t="shared" si="6"/>
        <v>943567.91920742043</v>
      </c>
      <c r="P27" s="447">
        <f t="shared" si="7"/>
        <v>1986419.9506913656</v>
      </c>
      <c r="Q27" s="8">
        <f t="shared" si="8"/>
        <v>117</v>
      </c>
    </row>
    <row r="28" spans="1:17">
      <c r="A28" s="8">
        <f t="shared" si="9"/>
        <v>118</v>
      </c>
      <c r="B28" s="164">
        <v>569</v>
      </c>
      <c r="C28" s="45" t="s">
        <v>1569</v>
      </c>
      <c r="D28" s="498">
        <v>48416.3</v>
      </c>
      <c r="E28" s="498">
        <v>1601698.88</v>
      </c>
      <c r="F28" s="443">
        <f t="shared" si="1"/>
        <v>1650115.18</v>
      </c>
      <c r="G28" s="498">
        <v>0</v>
      </c>
      <c r="H28" s="498">
        <v>0</v>
      </c>
      <c r="I28" s="443">
        <f t="shared" si="10"/>
        <v>0</v>
      </c>
      <c r="J28" s="443">
        <f t="shared" si="2"/>
        <v>48416.3</v>
      </c>
      <c r="K28" s="443">
        <f t="shared" si="3"/>
        <v>1601698.88</v>
      </c>
      <c r="L28" s="443">
        <f t="shared" si="4"/>
        <v>1650115.18</v>
      </c>
      <c r="M28" s="336">
        <f>'24-Allocators'!$C$37</f>
        <v>0.951104471035909</v>
      </c>
      <c r="N28" s="447">
        <f t="shared" si="5"/>
        <v>46048.959401015883</v>
      </c>
      <c r="O28" s="447">
        <f t="shared" si="6"/>
        <v>1523382.9660212079</v>
      </c>
      <c r="P28" s="447">
        <f t="shared" si="7"/>
        <v>1569431.9254222238</v>
      </c>
      <c r="Q28" s="8">
        <f t="shared" si="8"/>
        <v>118</v>
      </c>
    </row>
    <row r="29" spans="1:17">
      <c r="A29" s="8">
        <f t="shared" si="9"/>
        <v>119</v>
      </c>
      <c r="B29" s="164">
        <f>B28+0.1</f>
        <v>569.1</v>
      </c>
      <c r="C29" s="45" t="s">
        <v>1570</v>
      </c>
      <c r="D29" s="498">
        <v>0</v>
      </c>
      <c r="E29" s="498">
        <v>0</v>
      </c>
      <c r="F29" s="443">
        <f t="shared" si="1"/>
        <v>0</v>
      </c>
      <c r="G29" s="498">
        <v>0</v>
      </c>
      <c r="H29" s="498">
        <v>0</v>
      </c>
      <c r="I29" s="443">
        <f t="shared" si="10"/>
        <v>0</v>
      </c>
      <c r="J29" s="443">
        <f t="shared" si="2"/>
        <v>0</v>
      </c>
      <c r="K29" s="443">
        <f t="shared" si="3"/>
        <v>0</v>
      </c>
      <c r="L29" s="443">
        <f t="shared" si="4"/>
        <v>0</v>
      </c>
      <c r="M29" s="336">
        <f>'24-Allocators'!$C$37</f>
        <v>0.951104471035909</v>
      </c>
      <c r="N29" s="447">
        <f t="shared" si="5"/>
        <v>0</v>
      </c>
      <c r="O29" s="447">
        <f t="shared" si="6"/>
        <v>0</v>
      </c>
      <c r="P29" s="447">
        <f t="shared" si="7"/>
        <v>0</v>
      </c>
      <c r="Q29" s="8">
        <f t="shared" si="8"/>
        <v>119</v>
      </c>
    </row>
    <row r="30" spans="1:17">
      <c r="A30" s="8">
        <f t="shared" si="9"/>
        <v>120</v>
      </c>
      <c r="B30" s="164">
        <f>B29+0.1</f>
        <v>569.20000000000005</v>
      </c>
      <c r="C30" s="45" t="s">
        <v>1571</v>
      </c>
      <c r="D30" s="498">
        <v>0</v>
      </c>
      <c r="E30" s="498">
        <v>80.790000000000006</v>
      </c>
      <c r="F30" s="443">
        <f t="shared" si="1"/>
        <v>80.790000000000006</v>
      </c>
      <c r="G30" s="498">
        <v>0</v>
      </c>
      <c r="H30" s="498">
        <v>0</v>
      </c>
      <c r="I30" s="443">
        <f t="shared" si="10"/>
        <v>0</v>
      </c>
      <c r="J30" s="443">
        <f t="shared" si="2"/>
        <v>0</v>
      </c>
      <c r="K30" s="443">
        <f t="shared" si="3"/>
        <v>80.790000000000006</v>
      </c>
      <c r="L30" s="443">
        <f t="shared" si="4"/>
        <v>80.790000000000006</v>
      </c>
      <c r="M30" s="336">
        <f>'24-Allocators'!$C$37</f>
        <v>0.951104471035909</v>
      </c>
      <c r="N30" s="447">
        <f t="shared" si="5"/>
        <v>0</v>
      </c>
      <c r="O30" s="447">
        <f t="shared" si="6"/>
        <v>76.839730214991093</v>
      </c>
      <c r="P30" s="447">
        <f t="shared" si="7"/>
        <v>76.839730214991093</v>
      </c>
      <c r="Q30" s="8">
        <f t="shared" si="8"/>
        <v>120</v>
      </c>
    </row>
    <row r="31" spans="1:17" ht="29">
      <c r="A31" s="8">
        <f t="shared" si="9"/>
        <v>121</v>
      </c>
      <c r="B31" s="164">
        <f>B30+0.1</f>
        <v>569.30000000000007</v>
      </c>
      <c r="C31" s="45" t="s">
        <v>1572</v>
      </c>
      <c r="D31" s="498">
        <v>0</v>
      </c>
      <c r="E31" s="498">
        <v>0</v>
      </c>
      <c r="F31" s="443">
        <f t="shared" si="1"/>
        <v>0</v>
      </c>
      <c r="G31" s="498">
        <v>0</v>
      </c>
      <c r="H31" s="498">
        <v>0</v>
      </c>
      <c r="I31" s="443">
        <f t="shared" si="10"/>
        <v>0</v>
      </c>
      <c r="J31" s="443">
        <f t="shared" si="2"/>
        <v>0</v>
      </c>
      <c r="K31" s="443">
        <f t="shared" si="3"/>
        <v>0</v>
      </c>
      <c r="L31" s="443">
        <f t="shared" si="4"/>
        <v>0</v>
      </c>
      <c r="M31" s="336">
        <f>'24-Allocators'!$C$37</f>
        <v>0.951104471035909</v>
      </c>
      <c r="N31" s="447">
        <f t="shared" si="5"/>
        <v>0</v>
      </c>
      <c r="O31" s="447">
        <f t="shared" si="6"/>
        <v>0</v>
      </c>
      <c r="P31" s="447">
        <f t="shared" si="7"/>
        <v>0</v>
      </c>
      <c r="Q31" s="8">
        <f t="shared" si="8"/>
        <v>121</v>
      </c>
    </row>
    <row r="32" spans="1:17" ht="29">
      <c r="A32" s="8">
        <f t="shared" si="9"/>
        <v>122</v>
      </c>
      <c r="B32" s="164">
        <f>B31+0.1</f>
        <v>569.40000000000009</v>
      </c>
      <c r="C32" s="45" t="s">
        <v>1573</v>
      </c>
      <c r="D32" s="498">
        <v>0</v>
      </c>
      <c r="E32" s="498">
        <v>0</v>
      </c>
      <c r="F32" s="443">
        <f t="shared" si="1"/>
        <v>0</v>
      </c>
      <c r="G32" s="498">
        <v>0</v>
      </c>
      <c r="H32" s="498">
        <v>0</v>
      </c>
      <c r="I32" s="443">
        <f t="shared" si="10"/>
        <v>0</v>
      </c>
      <c r="J32" s="443">
        <f t="shared" si="2"/>
        <v>0</v>
      </c>
      <c r="K32" s="443">
        <f t="shared" si="3"/>
        <v>0</v>
      </c>
      <c r="L32" s="443">
        <f t="shared" si="4"/>
        <v>0</v>
      </c>
      <c r="M32" s="336">
        <f>'24-Allocators'!$C$37</f>
        <v>0.951104471035909</v>
      </c>
      <c r="N32" s="447">
        <f t="shared" si="5"/>
        <v>0</v>
      </c>
      <c r="O32" s="447">
        <f t="shared" si="6"/>
        <v>0</v>
      </c>
      <c r="P32" s="447">
        <f t="shared" si="7"/>
        <v>0</v>
      </c>
      <c r="Q32" s="8">
        <f t="shared" si="8"/>
        <v>122</v>
      </c>
    </row>
    <row r="33" spans="1:17">
      <c r="A33" s="8">
        <f t="shared" si="9"/>
        <v>123</v>
      </c>
      <c r="B33" s="164">
        <v>570</v>
      </c>
      <c r="C33" s="45" t="s">
        <v>1574</v>
      </c>
      <c r="D33" s="498">
        <v>22002706.559999999</v>
      </c>
      <c r="E33" s="498">
        <v>23694587.32</v>
      </c>
      <c r="F33" s="443">
        <f t="shared" si="1"/>
        <v>45697293.879999995</v>
      </c>
      <c r="G33" s="621">
        <v>-220400.17</v>
      </c>
      <c r="H33" s="621">
        <v>-32326.78</v>
      </c>
      <c r="I33" s="443">
        <f t="shared" si="10"/>
        <v>-252726.95</v>
      </c>
      <c r="J33" s="443">
        <f t="shared" si="2"/>
        <v>21782306.389999997</v>
      </c>
      <c r="K33" s="443">
        <f t="shared" si="3"/>
        <v>23662260.539999999</v>
      </c>
      <c r="L33" s="443">
        <f t="shared" si="4"/>
        <v>45444566.929999992</v>
      </c>
      <c r="M33" s="336">
        <f>'24-Allocators'!$C$37</f>
        <v>0.951104471035909</v>
      </c>
      <c r="N33" s="447">
        <f t="shared" si="5"/>
        <v>20717248.997003049</v>
      </c>
      <c r="O33" s="447">
        <f t="shared" si="6"/>
        <v>22505281.79441056</v>
      </c>
      <c r="P33" s="447">
        <f t="shared" si="7"/>
        <v>43222530.791413605</v>
      </c>
      <c r="Q33" s="8">
        <f t="shared" si="8"/>
        <v>123</v>
      </c>
    </row>
    <row r="34" spans="1:17">
      <c r="A34" s="8">
        <f t="shared" si="9"/>
        <v>124</v>
      </c>
      <c r="B34" s="164">
        <f>B33+0.1</f>
        <v>570.1</v>
      </c>
      <c r="C34" s="45" t="s">
        <v>1575</v>
      </c>
      <c r="D34" s="498">
        <v>0</v>
      </c>
      <c r="E34" s="498">
        <v>0</v>
      </c>
      <c r="F34" s="443">
        <f t="shared" si="1"/>
        <v>0</v>
      </c>
      <c r="G34" s="498">
        <v>0</v>
      </c>
      <c r="H34" s="498">
        <v>0</v>
      </c>
      <c r="I34" s="443">
        <f t="shared" si="10"/>
        <v>0</v>
      </c>
      <c r="J34" s="443">
        <f t="shared" si="2"/>
        <v>0</v>
      </c>
      <c r="K34" s="443">
        <f t="shared" si="3"/>
        <v>0</v>
      </c>
      <c r="L34" s="443">
        <f t="shared" si="4"/>
        <v>0</v>
      </c>
      <c r="M34" s="336">
        <f>'24-Allocators'!$C$37</f>
        <v>0.951104471035909</v>
      </c>
      <c r="N34" s="447">
        <f t="shared" si="5"/>
        <v>0</v>
      </c>
      <c r="O34" s="447">
        <f t="shared" si="6"/>
        <v>0</v>
      </c>
      <c r="P34" s="447">
        <f t="shared" si="7"/>
        <v>0</v>
      </c>
      <c r="Q34" s="8">
        <f t="shared" si="8"/>
        <v>124</v>
      </c>
    </row>
    <row r="35" spans="1:17">
      <c r="A35" s="8">
        <f t="shared" si="9"/>
        <v>125</v>
      </c>
      <c r="B35" s="164">
        <v>571</v>
      </c>
      <c r="C35" s="45" t="s">
        <v>1576</v>
      </c>
      <c r="D35" s="498">
        <v>34374240.939999998</v>
      </c>
      <c r="E35" s="498">
        <v>239474384.19999999</v>
      </c>
      <c r="F35" s="443">
        <f t="shared" si="1"/>
        <v>273848625.13999999</v>
      </c>
      <c r="G35" s="621">
        <v>1873.55</v>
      </c>
      <c r="H35" s="621">
        <v>-1665955.98</v>
      </c>
      <c r="I35" s="443">
        <f t="shared" si="10"/>
        <v>-1664082.43</v>
      </c>
      <c r="J35" s="443">
        <f t="shared" si="2"/>
        <v>34376114.489999995</v>
      </c>
      <c r="K35" s="443">
        <f t="shared" si="3"/>
        <v>237808428.22</v>
      </c>
      <c r="L35" s="443">
        <f t="shared" si="4"/>
        <v>272184542.70999998</v>
      </c>
      <c r="M35" s="336">
        <f>'24-Allocators'!$C$37</f>
        <v>0.951104471035909</v>
      </c>
      <c r="N35" s="447">
        <f t="shared" si="5"/>
        <v>32695276.18828129</v>
      </c>
      <c r="O35" s="447">
        <f t="shared" si="6"/>
        <v>226180659.33006403</v>
      </c>
      <c r="P35" s="447">
        <f t="shared" si="7"/>
        <v>258875935.51834533</v>
      </c>
      <c r="Q35" s="8">
        <f t="shared" si="8"/>
        <v>125</v>
      </c>
    </row>
    <row r="36" spans="1:17">
      <c r="A36" s="8">
        <f t="shared" si="9"/>
        <v>126</v>
      </c>
      <c r="B36" s="164">
        <v>572</v>
      </c>
      <c r="C36" s="45" t="s">
        <v>1577</v>
      </c>
      <c r="D36" s="498">
        <v>1700772.99</v>
      </c>
      <c r="E36" s="498">
        <v>527142.26</v>
      </c>
      <c r="F36" s="443">
        <f t="shared" si="1"/>
        <v>2227915.25</v>
      </c>
      <c r="G36" s="498">
        <v>0</v>
      </c>
      <c r="H36" s="498">
        <v>0</v>
      </c>
      <c r="I36" s="443">
        <f t="shared" si="10"/>
        <v>0</v>
      </c>
      <c r="J36" s="443">
        <f t="shared" si="2"/>
        <v>1700772.99</v>
      </c>
      <c r="K36" s="443">
        <f t="shared" si="3"/>
        <v>527142.26</v>
      </c>
      <c r="L36" s="443">
        <f t="shared" si="4"/>
        <v>2227915.25</v>
      </c>
      <c r="M36" s="336">
        <f>'24-Allocators'!$C$37</f>
        <v>0.951104471035909</v>
      </c>
      <c r="N36" s="447">
        <f t="shared" si="5"/>
        <v>1617612.7950061113</v>
      </c>
      <c r="O36" s="447">
        <f t="shared" si="6"/>
        <v>501367.36035797361</v>
      </c>
      <c r="P36" s="447">
        <f t="shared" si="7"/>
        <v>2118980.155364085</v>
      </c>
      <c r="Q36" s="8">
        <f t="shared" si="8"/>
        <v>126</v>
      </c>
    </row>
    <row r="37" spans="1:17" ht="29">
      <c r="A37" s="8">
        <f t="shared" si="9"/>
        <v>127</v>
      </c>
      <c r="B37" s="164">
        <v>573</v>
      </c>
      <c r="C37" s="45" t="s">
        <v>1578</v>
      </c>
      <c r="D37" s="498">
        <v>36483.300000000003</v>
      </c>
      <c r="E37" s="498">
        <v>141660.51999999999</v>
      </c>
      <c r="F37" s="443">
        <f t="shared" si="1"/>
        <v>178143.82</v>
      </c>
      <c r="G37" s="498">
        <v>-4411.46</v>
      </c>
      <c r="H37" s="498">
        <v>-386.56000000000495</v>
      </c>
      <c r="I37" s="443">
        <f t="shared" si="10"/>
        <v>-4798.020000000005</v>
      </c>
      <c r="J37" s="443">
        <f t="shared" si="2"/>
        <v>32071.840000000004</v>
      </c>
      <c r="K37" s="443">
        <f t="shared" si="3"/>
        <v>141273.96</v>
      </c>
      <c r="L37" s="443">
        <f t="shared" si="4"/>
        <v>173345.8</v>
      </c>
      <c r="M37" s="336">
        <f>'24-Allocators'!$C$37</f>
        <v>0.951104471035909</v>
      </c>
      <c r="N37" s="447">
        <f t="shared" si="5"/>
        <v>30503.670418348313</v>
      </c>
      <c r="O37" s="447">
        <f t="shared" si="6"/>
        <v>134366.29499694816</v>
      </c>
      <c r="P37" s="447">
        <f t="shared" si="7"/>
        <v>164869.96541529646</v>
      </c>
      <c r="Q37" s="8">
        <f t="shared" si="8"/>
        <v>127</v>
      </c>
    </row>
    <row r="38" spans="1:17">
      <c r="C38" s="12"/>
      <c r="D38" s="334"/>
      <c r="E38" s="334"/>
      <c r="F38" s="25"/>
      <c r="G38" s="335"/>
      <c r="H38" s="335"/>
      <c r="I38" s="334"/>
      <c r="J38" s="334"/>
      <c r="K38" s="334"/>
      <c r="L38" s="334"/>
      <c r="M38" s="8"/>
    </row>
    <row r="39" spans="1:17">
      <c r="C39" s="12"/>
      <c r="D39" s="334"/>
      <c r="E39" s="334"/>
      <c r="F39" s="25"/>
      <c r="G39" s="335"/>
      <c r="H39" s="335"/>
      <c r="I39" s="334"/>
      <c r="J39" s="334"/>
      <c r="K39" s="334"/>
      <c r="L39" s="334"/>
      <c r="M39" s="8"/>
    </row>
    <row r="40" spans="1:17">
      <c r="C40" s="12"/>
      <c r="D40" s="334"/>
      <c r="E40" s="334"/>
      <c r="F40" s="25"/>
      <c r="G40" s="335"/>
      <c r="H40" s="335"/>
      <c r="I40" s="334"/>
      <c r="J40" s="334"/>
      <c r="K40" s="334"/>
      <c r="L40" s="334"/>
      <c r="M40" s="8"/>
    </row>
    <row r="41" spans="1:17">
      <c r="B41" s="16" t="s">
        <v>306</v>
      </c>
      <c r="G41" s="28"/>
    </row>
    <row r="42" spans="1:17">
      <c r="B42" t="s">
        <v>1579</v>
      </c>
    </row>
    <row r="43" spans="1:17">
      <c r="B43" s="17" t="s">
        <v>1580</v>
      </c>
    </row>
    <row r="44" spans="1:17">
      <c r="B44" s="869" t="s">
        <v>1581</v>
      </c>
      <c r="C44" s="869"/>
      <c r="D44" s="869"/>
      <c r="E44" s="869"/>
      <c r="F44" s="869"/>
      <c r="G44" s="869"/>
      <c r="H44" s="869"/>
      <c r="I44" s="869"/>
      <c r="J44" s="869"/>
      <c r="K44" s="869"/>
      <c r="L44" s="869"/>
    </row>
    <row r="45" spans="1:17">
      <c r="B45" s="869"/>
      <c r="C45" s="869"/>
      <c r="D45" s="869"/>
      <c r="E45" s="869"/>
      <c r="F45" s="869"/>
      <c r="G45" s="869"/>
      <c r="H45" s="869"/>
      <c r="I45" s="869"/>
      <c r="J45" s="869"/>
      <c r="K45" s="869"/>
      <c r="L45" s="869"/>
    </row>
    <row r="46" spans="1:17">
      <c r="B46" t="s">
        <v>1582</v>
      </c>
    </row>
    <row r="144" spans="11:11">
      <c r="K144" t="e">
        <f>E30/E144*E151</f>
        <v>#DIV/0!</v>
      </c>
    </row>
    <row r="160" spans="10:10">
      <c r="J160">
        <f>E160-D160</f>
        <v>0</v>
      </c>
    </row>
  </sheetData>
  <mergeCells count="9">
    <mergeCell ref="G8:I8"/>
    <mergeCell ref="N8:P8"/>
    <mergeCell ref="B44:L45"/>
    <mergeCell ref="B10:C10"/>
    <mergeCell ref="B8:B9"/>
    <mergeCell ref="C8:C9"/>
    <mergeCell ref="D8:F8"/>
    <mergeCell ref="J8:L8"/>
    <mergeCell ref="M8:M9"/>
  </mergeCells>
  <printOptions horizontalCentered="1"/>
  <pageMargins left="1" right="1" top="1" bottom="1" header="0.5" footer="0.5"/>
  <pageSetup scale="38"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1:AA160"/>
  <sheetViews>
    <sheetView tabSelected="1" view="pageBreakPreview" zoomScale="70" zoomScaleNormal="70" zoomScaleSheetLayoutView="70" zoomScalePageLayoutView="55" workbookViewId="0">
      <pane xSplit="4" topLeftCell="H1" activePane="topRight" state="frozen"/>
      <selection activeCell="E174" sqref="E174"/>
      <selection pane="topRight" activeCell="E174" sqref="E174"/>
    </sheetView>
  </sheetViews>
  <sheetFormatPr defaultColWidth="9.1796875" defaultRowHeight="14.5"/>
  <cols>
    <col min="1" max="1" width="7.26953125" style="70" bestFit="1" customWidth="1"/>
    <col min="2" max="2" width="2.7265625" style="70" customWidth="1"/>
    <col min="3" max="3" width="6.7265625" style="70" customWidth="1"/>
    <col min="4" max="4" width="61.81640625" style="70" customWidth="1"/>
    <col min="5" max="5" width="22.453125" style="70" customWidth="1"/>
    <col min="6" max="6" width="20.7265625" style="70" customWidth="1"/>
    <col min="7" max="7" width="22" style="70" customWidth="1"/>
    <col min="8" max="8" width="22" style="70" bestFit="1" customWidth="1"/>
    <col min="9" max="9" width="23" style="95" customWidth="1"/>
    <col min="10" max="10" width="13.453125" style="70" customWidth="1"/>
    <col min="11" max="11" width="25.1796875" style="70" customWidth="1"/>
    <col min="12" max="12" width="25" style="70" bestFit="1" customWidth="1"/>
    <col min="13" max="13" width="20.54296875" style="70" bestFit="1" customWidth="1"/>
    <col min="14" max="14" width="7.26953125" style="70" bestFit="1" customWidth="1"/>
    <col min="15" max="15" width="10.7265625" style="70" bestFit="1" customWidth="1"/>
    <col min="16" max="16384" width="9.1796875" style="70"/>
  </cols>
  <sheetData>
    <row r="1" spans="1:27">
      <c r="A1" s="92"/>
      <c r="B1" s="92" t="s">
        <v>53</v>
      </c>
      <c r="M1" s="15" t="s">
        <v>1583</v>
      </c>
      <c r="N1" s="92"/>
    </row>
    <row r="2" spans="1:27">
      <c r="A2" s="92"/>
      <c r="B2" s="411" t="s">
        <v>1584</v>
      </c>
      <c r="C2" s="93"/>
      <c r="D2" s="93"/>
      <c r="K2" s="77"/>
      <c r="L2" s="171"/>
      <c r="N2" s="92"/>
    </row>
    <row r="3" spans="1:27">
      <c r="A3" s="92"/>
      <c r="K3" s="171"/>
      <c r="L3" s="171"/>
      <c r="N3" s="92"/>
    </row>
    <row r="4" spans="1:27">
      <c r="A4" s="97" t="s">
        <v>1045</v>
      </c>
      <c r="K4" s="171"/>
      <c r="L4" s="171"/>
      <c r="N4" s="97" t="s">
        <v>1045</v>
      </c>
    </row>
    <row r="5" spans="1:27">
      <c r="A5" s="77">
        <v>100</v>
      </c>
      <c r="C5" s="92" t="s">
        <v>1585</v>
      </c>
      <c r="E5" s="94" t="s">
        <v>371</v>
      </c>
      <c r="F5" s="94" t="s">
        <v>372</v>
      </c>
      <c r="G5" s="94" t="s">
        <v>373</v>
      </c>
      <c r="H5" s="94" t="s">
        <v>374</v>
      </c>
      <c r="I5" s="94" t="s">
        <v>1586</v>
      </c>
      <c r="J5" s="97" t="s">
        <v>376</v>
      </c>
      <c r="K5" s="97" t="s">
        <v>1587</v>
      </c>
      <c r="L5" s="97"/>
      <c r="N5" s="77">
        <f t="shared" ref="N5:N23" si="0">A5</f>
        <v>100</v>
      </c>
    </row>
    <row r="6" spans="1:27">
      <c r="A6" s="77">
        <f t="shared" ref="A6:A23" si="1">A5+1</f>
        <v>101</v>
      </c>
      <c r="G6" s="339" t="s">
        <v>1588</v>
      </c>
      <c r="J6" s="339" t="s">
        <v>1179</v>
      </c>
      <c r="N6" s="77">
        <f t="shared" si="0"/>
        <v>101</v>
      </c>
    </row>
    <row r="7" spans="1:27">
      <c r="A7" s="77">
        <f t="shared" si="1"/>
        <v>102</v>
      </c>
      <c r="E7" s="77" t="s">
        <v>644</v>
      </c>
      <c r="F7" s="77" t="s">
        <v>1589</v>
      </c>
      <c r="G7" s="77" t="s">
        <v>1590</v>
      </c>
      <c r="H7" s="77" t="s">
        <v>1589</v>
      </c>
      <c r="I7" s="77" t="s">
        <v>1591</v>
      </c>
      <c r="J7" s="77" t="s">
        <v>1591</v>
      </c>
      <c r="K7" s="77" t="s">
        <v>1592</v>
      </c>
      <c r="L7" s="77"/>
      <c r="N7" s="77">
        <f t="shared" si="0"/>
        <v>102</v>
      </c>
    </row>
    <row r="8" spans="1:27">
      <c r="A8" s="77">
        <f t="shared" si="1"/>
        <v>103</v>
      </c>
      <c r="B8" s="97"/>
      <c r="C8" s="97" t="s">
        <v>1593</v>
      </c>
      <c r="D8" s="97" t="s">
        <v>6</v>
      </c>
      <c r="E8" s="97" t="s">
        <v>593</v>
      </c>
      <c r="F8" s="97" t="s">
        <v>135</v>
      </c>
      <c r="G8" s="97" t="s">
        <v>593</v>
      </c>
      <c r="H8" s="97" t="s">
        <v>135</v>
      </c>
      <c r="I8" s="97" t="s">
        <v>593</v>
      </c>
      <c r="J8" s="97" t="s">
        <v>1594</v>
      </c>
      <c r="K8" s="97" t="s">
        <v>268</v>
      </c>
      <c r="L8" s="97" t="s">
        <v>594</v>
      </c>
      <c r="N8" s="77">
        <f t="shared" si="0"/>
        <v>103</v>
      </c>
      <c r="O8" s="97"/>
      <c r="P8" s="97"/>
      <c r="Q8" s="97"/>
      <c r="R8" s="97"/>
      <c r="S8" s="97"/>
      <c r="T8" s="97"/>
      <c r="U8" s="97"/>
      <c r="V8" s="97"/>
      <c r="W8" s="97"/>
      <c r="X8" s="97"/>
      <c r="Y8" s="97"/>
      <c r="Z8" s="97"/>
      <c r="AA8" s="97"/>
    </row>
    <row r="9" spans="1:27">
      <c r="A9" s="77">
        <f t="shared" si="1"/>
        <v>104</v>
      </c>
      <c r="C9" s="171">
        <v>920</v>
      </c>
      <c r="D9" s="70" t="s">
        <v>1595</v>
      </c>
      <c r="E9" s="454">
        <v>404709415</v>
      </c>
      <c r="F9" s="171" t="s">
        <v>1596</v>
      </c>
      <c r="G9" s="454"/>
      <c r="H9" s="171" t="s">
        <v>1597</v>
      </c>
      <c r="I9" s="450">
        <f t="shared" ref="I9:I22" si="2">E9+G9</f>
        <v>404709415</v>
      </c>
      <c r="J9" s="454">
        <v>27524754.390707966</v>
      </c>
      <c r="K9" s="450">
        <f t="shared" ref="K9:K22" si="3">I9-J9</f>
        <v>377184660.60929203</v>
      </c>
      <c r="L9" s="70" t="s">
        <v>1598</v>
      </c>
      <c r="N9" s="77">
        <f t="shared" si="0"/>
        <v>104</v>
      </c>
    </row>
    <row r="10" spans="1:27">
      <c r="A10" s="77">
        <f t="shared" si="1"/>
        <v>105</v>
      </c>
      <c r="C10" s="171">
        <v>921</v>
      </c>
      <c r="D10" s="70" t="s">
        <v>1599</v>
      </c>
      <c r="E10" s="454">
        <v>60800833</v>
      </c>
      <c r="F10" s="171" t="s">
        <v>1600</v>
      </c>
      <c r="G10" s="454"/>
      <c r="H10" s="171" t="s">
        <v>1601</v>
      </c>
      <c r="I10" s="450">
        <f t="shared" si="2"/>
        <v>60800833</v>
      </c>
      <c r="J10" s="454">
        <v>5729864.3201102465</v>
      </c>
      <c r="K10" s="450">
        <f t="shared" si="3"/>
        <v>55070968.679889753</v>
      </c>
      <c r="L10" s="70" t="s">
        <v>1602</v>
      </c>
      <c r="N10" s="77">
        <f t="shared" si="0"/>
        <v>105</v>
      </c>
    </row>
    <row r="11" spans="1:27">
      <c r="A11" s="77">
        <f t="shared" si="1"/>
        <v>106</v>
      </c>
      <c r="C11" s="171">
        <v>922</v>
      </c>
      <c r="D11" s="70" t="s">
        <v>1603</v>
      </c>
      <c r="E11" s="454">
        <v>-148789230</v>
      </c>
      <c r="F11" s="171" t="s">
        <v>1604</v>
      </c>
      <c r="G11" s="454"/>
      <c r="H11" s="171" t="s">
        <v>1605</v>
      </c>
      <c r="I11" s="450">
        <f t="shared" si="2"/>
        <v>-148789230</v>
      </c>
      <c r="J11" s="454">
        <v>-39864392.545218438</v>
      </c>
      <c r="K11" s="450">
        <f t="shared" si="3"/>
        <v>-108924837.45478156</v>
      </c>
      <c r="L11" s="70" t="s">
        <v>1606</v>
      </c>
      <c r="N11" s="77">
        <f t="shared" si="0"/>
        <v>106</v>
      </c>
    </row>
    <row r="12" spans="1:27">
      <c r="A12" s="77">
        <f t="shared" si="1"/>
        <v>107</v>
      </c>
      <c r="B12" s="77"/>
      <c r="C12" s="171">
        <v>923</v>
      </c>
      <c r="D12" s="70" t="s">
        <v>1607</v>
      </c>
      <c r="E12" s="454">
        <v>346863593</v>
      </c>
      <c r="F12" s="171" t="s">
        <v>1608</v>
      </c>
      <c r="G12" s="454"/>
      <c r="H12" s="171" t="s">
        <v>1609</v>
      </c>
      <c r="I12" s="450">
        <f t="shared" si="2"/>
        <v>346863593</v>
      </c>
      <c r="J12" s="454">
        <v>79382893.979107529</v>
      </c>
      <c r="K12" s="450">
        <f t="shared" si="3"/>
        <v>267480699.02089247</v>
      </c>
      <c r="L12" s="70" t="s">
        <v>1610</v>
      </c>
      <c r="N12" s="77">
        <f t="shared" si="0"/>
        <v>107</v>
      </c>
    </row>
    <row r="13" spans="1:27">
      <c r="A13" s="77">
        <f t="shared" si="1"/>
        <v>108</v>
      </c>
      <c r="B13" s="77"/>
      <c r="C13" s="171">
        <v>924</v>
      </c>
      <c r="D13" s="70" t="s">
        <v>1058</v>
      </c>
      <c r="E13" s="454">
        <v>16065669</v>
      </c>
      <c r="F13" s="171" t="s">
        <v>1611</v>
      </c>
      <c r="G13" s="454"/>
      <c r="H13" s="171" t="s">
        <v>1612</v>
      </c>
      <c r="I13" s="450">
        <f t="shared" si="2"/>
        <v>16065669</v>
      </c>
      <c r="J13" s="454">
        <v>-4956686.1300000008</v>
      </c>
      <c r="K13" s="450">
        <f t="shared" si="3"/>
        <v>21022355.130000003</v>
      </c>
      <c r="L13" s="70" t="s">
        <v>1613</v>
      </c>
      <c r="N13" s="77">
        <f t="shared" si="0"/>
        <v>108</v>
      </c>
    </row>
    <row r="14" spans="1:27">
      <c r="A14" s="77">
        <f t="shared" si="1"/>
        <v>109</v>
      </c>
      <c r="B14" s="77"/>
      <c r="C14" s="171">
        <v>925</v>
      </c>
      <c r="D14" s="70" t="s">
        <v>1118</v>
      </c>
      <c r="E14" s="454">
        <v>1781245931</v>
      </c>
      <c r="F14" s="171" t="s">
        <v>1614</v>
      </c>
      <c r="G14" s="454"/>
      <c r="H14" s="171" t="s">
        <v>1615</v>
      </c>
      <c r="I14" s="450">
        <f t="shared" si="2"/>
        <v>1781245931</v>
      </c>
      <c r="J14" s="824">
        <v>294112458.49072611</v>
      </c>
      <c r="K14" s="824">
        <f t="shared" si="3"/>
        <v>1487133472.509274</v>
      </c>
      <c r="L14" s="70" t="s">
        <v>1616</v>
      </c>
      <c r="N14" s="77">
        <f t="shared" si="0"/>
        <v>109</v>
      </c>
    </row>
    <row r="15" spans="1:27">
      <c r="A15" s="77">
        <f t="shared" si="1"/>
        <v>110</v>
      </c>
      <c r="B15" s="77"/>
      <c r="C15" s="171">
        <v>926</v>
      </c>
      <c r="D15" s="70" t="s">
        <v>1617</v>
      </c>
      <c r="E15" s="454">
        <v>390655154</v>
      </c>
      <c r="F15" s="171" t="s">
        <v>1618</v>
      </c>
      <c r="G15" s="454"/>
      <c r="H15" s="171" t="s">
        <v>1619</v>
      </c>
      <c r="I15" s="450">
        <f t="shared" si="2"/>
        <v>390655154</v>
      </c>
      <c r="J15" s="454">
        <v>70562390.365655869</v>
      </c>
      <c r="K15" s="450">
        <f t="shared" si="3"/>
        <v>320092763.6343441</v>
      </c>
      <c r="L15" s="70" t="s">
        <v>1620</v>
      </c>
      <c r="N15" s="77">
        <f t="shared" si="0"/>
        <v>110</v>
      </c>
    </row>
    <row r="16" spans="1:27">
      <c r="A16" s="77">
        <f t="shared" si="1"/>
        <v>111</v>
      </c>
      <c r="B16" s="77"/>
      <c r="C16" s="171">
        <v>927</v>
      </c>
      <c r="D16" s="70" t="s">
        <v>1621</v>
      </c>
      <c r="E16" s="454">
        <v>101328358</v>
      </c>
      <c r="F16" s="171" t="s">
        <v>1622</v>
      </c>
      <c r="G16" s="454"/>
      <c r="H16" s="171" t="s">
        <v>1623</v>
      </c>
      <c r="I16" s="450">
        <f t="shared" si="2"/>
        <v>101328358</v>
      </c>
      <c r="J16" s="454">
        <v>101328358</v>
      </c>
      <c r="K16" s="450">
        <f t="shared" si="3"/>
        <v>0</v>
      </c>
      <c r="L16" s="70" t="s">
        <v>1624</v>
      </c>
      <c r="N16" s="77">
        <f t="shared" si="0"/>
        <v>111</v>
      </c>
    </row>
    <row r="17" spans="1:14">
      <c r="A17" s="77">
        <f t="shared" si="1"/>
        <v>112</v>
      </c>
      <c r="B17" s="77"/>
      <c r="C17" s="171">
        <v>928</v>
      </c>
      <c r="D17" s="70" t="s">
        <v>1625</v>
      </c>
      <c r="E17" s="454">
        <v>0</v>
      </c>
      <c r="F17" s="171" t="s">
        <v>1626</v>
      </c>
      <c r="G17" s="454"/>
      <c r="H17" s="171" t="s">
        <v>1627</v>
      </c>
      <c r="I17" s="450">
        <f t="shared" si="2"/>
        <v>0</v>
      </c>
      <c r="J17" s="454">
        <v>0</v>
      </c>
      <c r="K17" s="450">
        <f t="shared" si="3"/>
        <v>0</v>
      </c>
      <c r="L17" s="92" t="s">
        <v>1180</v>
      </c>
      <c r="N17" s="77">
        <f t="shared" si="0"/>
        <v>112</v>
      </c>
    </row>
    <row r="18" spans="1:14">
      <c r="A18" s="77">
        <f t="shared" si="1"/>
        <v>113</v>
      </c>
      <c r="B18" s="77"/>
      <c r="C18" s="171">
        <v>929</v>
      </c>
      <c r="D18" s="70" t="s">
        <v>1628</v>
      </c>
      <c r="E18" s="454">
        <v>0</v>
      </c>
      <c r="F18" s="171" t="s">
        <v>1629</v>
      </c>
      <c r="G18" s="454"/>
      <c r="H18" s="171" t="s">
        <v>1630</v>
      </c>
      <c r="I18" s="450">
        <f t="shared" si="2"/>
        <v>0</v>
      </c>
      <c r="J18" s="454">
        <v>0</v>
      </c>
      <c r="K18" s="450">
        <f t="shared" si="3"/>
        <v>0</v>
      </c>
      <c r="L18" s="92" t="s">
        <v>1180</v>
      </c>
      <c r="N18" s="77">
        <f t="shared" si="0"/>
        <v>113</v>
      </c>
    </row>
    <row r="19" spans="1:14">
      <c r="A19" s="77">
        <f t="shared" si="1"/>
        <v>114</v>
      </c>
      <c r="B19" s="77"/>
      <c r="C19" s="171">
        <v>930.1</v>
      </c>
      <c r="D19" s="70" t="s">
        <v>1631</v>
      </c>
      <c r="E19" s="445">
        <f>579767</f>
        <v>579767</v>
      </c>
      <c r="F19" s="171" t="s">
        <v>1632</v>
      </c>
      <c r="G19" s="454"/>
      <c r="H19" s="171" t="s">
        <v>1633</v>
      </c>
      <c r="I19" s="450">
        <f t="shared" si="2"/>
        <v>579767</v>
      </c>
      <c r="J19" s="454">
        <v>0</v>
      </c>
      <c r="K19" s="450">
        <f t="shared" si="3"/>
        <v>579767</v>
      </c>
      <c r="L19" s="70" t="s">
        <v>1634</v>
      </c>
      <c r="N19" s="77">
        <f t="shared" si="0"/>
        <v>114</v>
      </c>
    </row>
    <row r="20" spans="1:14">
      <c r="A20" s="77">
        <f t="shared" si="1"/>
        <v>115</v>
      </c>
      <c r="B20" s="77"/>
      <c r="C20" s="171">
        <v>930.2</v>
      </c>
      <c r="D20" s="70" t="s">
        <v>1635</v>
      </c>
      <c r="E20" s="445">
        <f>16158682</f>
        <v>16158682</v>
      </c>
      <c r="F20" s="171" t="s">
        <v>1636</v>
      </c>
      <c r="G20" s="454"/>
      <c r="H20" s="171" t="s">
        <v>1637</v>
      </c>
      <c r="I20" s="450">
        <f t="shared" si="2"/>
        <v>16158682</v>
      </c>
      <c r="J20" s="454">
        <v>11214746.560000252</v>
      </c>
      <c r="K20" s="450">
        <f t="shared" si="3"/>
        <v>4943935.439999748</v>
      </c>
      <c r="L20" s="70" t="s">
        <v>1634</v>
      </c>
      <c r="N20" s="77">
        <f t="shared" si="0"/>
        <v>115</v>
      </c>
    </row>
    <row r="21" spans="1:14">
      <c r="A21" s="77">
        <f t="shared" si="1"/>
        <v>116</v>
      </c>
      <c r="B21" s="77"/>
      <c r="C21" s="171">
        <v>931</v>
      </c>
      <c r="D21" s="70" t="s">
        <v>1567</v>
      </c>
      <c r="E21" s="454">
        <v>0</v>
      </c>
      <c r="F21" s="171" t="s">
        <v>1638</v>
      </c>
      <c r="G21" s="454"/>
      <c r="H21" s="171" t="s">
        <v>1639</v>
      </c>
      <c r="I21" s="450">
        <f t="shared" si="2"/>
        <v>0</v>
      </c>
      <c r="J21" s="454">
        <v>0</v>
      </c>
      <c r="K21" s="450">
        <f t="shared" si="3"/>
        <v>0</v>
      </c>
      <c r="L21" s="92" t="s">
        <v>1180</v>
      </c>
      <c r="N21" s="77">
        <f t="shared" si="0"/>
        <v>116</v>
      </c>
    </row>
    <row r="22" spans="1:14">
      <c r="A22" s="77">
        <f t="shared" si="1"/>
        <v>117</v>
      </c>
      <c r="B22" s="77"/>
      <c r="C22" s="171">
        <v>935</v>
      </c>
      <c r="D22" s="70" t="s">
        <v>1640</v>
      </c>
      <c r="E22" s="455">
        <v>3004766</v>
      </c>
      <c r="F22" s="171" t="s">
        <v>1641</v>
      </c>
      <c r="G22" s="455"/>
      <c r="H22" s="171" t="s">
        <v>1642</v>
      </c>
      <c r="I22" s="452">
        <f t="shared" si="2"/>
        <v>3004766</v>
      </c>
      <c r="J22" s="455">
        <v>0</v>
      </c>
      <c r="K22" s="452">
        <f t="shared" si="3"/>
        <v>3004766</v>
      </c>
      <c r="L22" s="70" t="s">
        <v>1643</v>
      </c>
      <c r="N22" s="77">
        <f t="shared" si="0"/>
        <v>117</v>
      </c>
    </row>
    <row r="23" spans="1:14" s="92" customFormat="1">
      <c r="A23" s="77">
        <f t="shared" si="1"/>
        <v>118</v>
      </c>
      <c r="D23" s="351" t="s">
        <v>1644</v>
      </c>
      <c r="E23" s="451">
        <f>SUM(E9:E22)</f>
        <v>2972622938</v>
      </c>
      <c r="F23" s="171" t="s">
        <v>1645</v>
      </c>
      <c r="G23" s="451">
        <f>SUM(G9:G22)</f>
        <v>0</v>
      </c>
      <c r="H23" s="171" t="s">
        <v>1646</v>
      </c>
      <c r="I23" s="453">
        <f>SUM(I9:I22)</f>
        <v>2972622938</v>
      </c>
      <c r="J23" s="827">
        <f>SUM(J9:J22)</f>
        <v>545034387.43108964</v>
      </c>
      <c r="K23" s="825">
        <f>SUM(K9:K22)</f>
        <v>2427588550.5689106</v>
      </c>
      <c r="N23" s="77">
        <f t="shared" si="0"/>
        <v>118</v>
      </c>
    </row>
    <row r="24" spans="1:14">
      <c r="A24" s="77"/>
      <c r="I24" s="350"/>
      <c r="N24" s="77"/>
    </row>
    <row r="25" spans="1:14">
      <c r="A25" s="77">
        <v>200</v>
      </c>
      <c r="C25" s="92" t="s">
        <v>1647</v>
      </c>
      <c r="I25" s="350"/>
      <c r="N25" s="77">
        <f t="shared" ref="N25:N46" si="4">A25</f>
        <v>200</v>
      </c>
    </row>
    <row r="26" spans="1:14">
      <c r="A26" s="77">
        <f t="shared" ref="A26:A46" si="5">A25+1</f>
        <v>201</v>
      </c>
      <c r="D26" s="344" t="s">
        <v>1648</v>
      </c>
      <c r="E26" s="349"/>
      <c r="F26" s="348" t="s">
        <v>593</v>
      </c>
      <c r="G26" s="348" t="s">
        <v>135</v>
      </c>
      <c r="H26" s="347"/>
      <c r="I26" s="346"/>
      <c r="J26" s="171" t="s">
        <v>2130</v>
      </c>
      <c r="K26" s="819" t="s">
        <v>2131</v>
      </c>
      <c r="N26" s="77">
        <f t="shared" si="4"/>
        <v>201</v>
      </c>
    </row>
    <row r="27" spans="1:14">
      <c r="A27" s="77">
        <f t="shared" si="5"/>
        <v>202</v>
      </c>
      <c r="D27" s="342"/>
      <c r="E27" s="95" t="s">
        <v>1649</v>
      </c>
      <c r="F27" s="824">
        <f>K23</f>
        <v>2427588550.5689106</v>
      </c>
      <c r="G27" s="79" t="s">
        <v>1650</v>
      </c>
      <c r="H27" s="642"/>
      <c r="I27" s="350"/>
      <c r="J27" s="450">
        <f>'19-AandG original'!F27</f>
        <v>2455374975.66891</v>
      </c>
      <c r="K27" s="450">
        <f>F27-J27</f>
        <v>-27786425.099999428</v>
      </c>
      <c r="N27" s="77">
        <f t="shared" si="4"/>
        <v>202</v>
      </c>
    </row>
    <row r="28" spans="1:14">
      <c r="A28" s="77">
        <f t="shared" si="5"/>
        <v>203</v>
      </c>
      <c r="D28" s="342"/>
      <c r="E28" s="95" t="s">
        <v>1651</v>
      </c>
      <c r="F28" s="450">
        <f>K13</f>
        <v>21022355.130000003</v>
      </c>
      <c r="G28" s="79" t="s">
        <v>1652</v>
      </c>
      <c r="H28" s="643"/>
      <c r="I28" s="644"/>
      <c r="J28" s="450">
        <f>'19-AandG original'!F28</f>
        <v>21022355.130000003</v>
      </c>
      <c r="K28" s="450">
        <f t="shared" ref="K28:K34" si="6">F28-J28</f>
        <v>0</v>
      </c>
      <c r="N28" s="77">
        <f t="shared" si="4"/>
        <v>203</v>
      </c>
    </row>
    <row r="29" spans="1:14">
      <c r="A29" s="77">
        <f t="shared" si="5"/>
        <v>204</v>
      </c>
      <c r="D29" s="345"/>
      <c r="E29" s="646" t="s">
        <v>1653</v>
      </c>
      <c r="F29" s="824">
        <v>1454893176.7333713</v>
      </c>
      <c r="G29" s="79" t="s">
        <v>1654</v>
      </c>
      <c r="H29" s="643"/>
      <c r="I29" s="644"/>
      <c r="J29" s="450">
        <f>'19-AandG original'!F29</f>
        <v>1482679601.8333712</v>
      </c>
      <c r="K29" s="450">
        <f t="shared" si="6"/>
        <v>-27786425.099999905</v>
      </c>
      <c r="N29" s="77">
        <f t="shared" si="4"/>
        <v>204</v>
      </c>
    </row>
    <row r="30" spans="1:14">
      <c r="A30" s="77">
        <f t="shared" si="5"/>
        <v>205</v>
      </c>
      <c r="D30" s="342"/>
      <c r="E30" s="95" t="s">
        <v>1655</v>
      </c>
      <c r="F30" s="647">
        <f>F27-SUM(F28:F29)</f>
        <v>951673018.70553923</v>
      </c>
      <c r="G30" s="79" t="s">
        <v>1656</v>
      </c>
      <c r="H30" s="642"/>
      <c r="I30" s="350"/>
      <c r="J30" s="450">
        <f>'19-AandG original'!F30</f>
        <v>951673018.70553875</v>
      </c>
      <c r="K30" s="450">
        <f t="shared" si="6"/>
        <v>0</v>
      </c>
      <c r="N30" s="77">
        <f t="shared" si="4"/>
        <v>205</v>
      </c>
    </row>
    <row r="31" spans="1:14">
      <c r="A31" s="77">
        <f t="shared" si="5"/>
        <v>206</v>
      </c>
      <c r="D31" s="692"/>
      <c r="E31" s="691" t="s">
        <v>1657</v>
      </c>
      <c r="F31" s="679">
        <v>1</v>
      </c>
      <c r="G31" s="689" t="s">
        <v>1658</v>
      </c>
      <c r="H31" s="695" t="s">
        <v>1588</v>
      </c>
      <c r="I31" s="649"/>
      <c r="J31" s="820">
        <f>'19-AandG original'!F31</f>
        <v>1</v>
      </c>
      <c r="K31" s="820">
        <f t="shared" si="6"/>
        <v>0</v>
      </c>
      <c r="N31" s="77">
        <f t="shared" si="4"/>
        <v>206</v>
      </c>
    </row>
    <row r="32" spans="1:14">
      <c r="A32" s="77">
        <f t="shared" si="5"/>
        <v>207</v>
      </c>
      <c r="D32" s="342"/>
      <c r="E32" s="95" t="s">
        <v>1659</v>
      </c>
      <c r="F32" s="647">
        <f>F30*F31</f>
        <v>951673018.70553923</v>
      </c>
      <c r="G32" s="79" t="str">
        <f>"Line "&amp;A30&amp;" * Line "&amp;A31&amp;""</f>
        <v>Line 205 * Line 206</v>
      </c>
      <c r="H32" s="642"/>
      <c r="I32" s="350"/>
      <c r="J32" s="450">
        <f>'19-AandG original'!F32</f>
        <v>951673018.70553875</v>
      </c>
      <c r="K32" s="450">
        <f t="shared" si="6"/>
        <v>0</v>
      </c>
      <c r="N32" s="77">
        <f t="shared" si="4"/>
        <v>207</v>
      </c>
    </row>
    <row r="33" spans="1:14">
      <c r="A33" s="77">
        <f t="shared" si="5"/>
        <v>208</v>
      </c>
      <c r="D33" s="342"/>
      <c r="E33" s="95" t="s">
        <v>1660</v>
      </c>
      <c r="F33" s="31">
        <f>'24-Allocators'!C23</f>
        <v>0.14690087374748809</v>
      </c>
      <c r="G33" s="648" t="s">
        <v>235</v>
      </c>
      <c r="H33" s="642"/>
      <c r="I33" s="649"/>
      <c r="J33" s="450">
        <f>'19-AandG original'!F33</f>
        <v>0.14690087374748809</v>
      </c>
      <c r="K33" s="450">
        <f t="shared" si="6"/>
        <v>0</v>
      </c>
      <c r="N33" s="77">
        <f t="shared" si="4"/>
        <v>208</v>
      </c>
    </row>
    <row r="34" spans="1:14">
      <c r="A34" s="77">
        <f t="shared" si="5"/>
        <v>209</v>
      </c>
      <c r="D34" s="340"/>
      <c r="E34" s="651" t="s">
        <v>1661</v>
      </c>
      <c r="F34" s="652">
        <f>F32*F33</f>
        <v>139801597.9697533</v>
      </c>
      <c r="G34" s="653" t="str">
        <f>"Line "&amp;A32&amp;" * Line "&amp;A33&amp;""</f>
        <v>Line 207 * Line 208</v>
      </c>
      <c r="H34" s="654"/>
      <c r="I34" s="350"/>
      <c r="J34" s="450">
        <f>'19-AandG original'!F34</f>
        <v>139801597.96975321</v>
      </c>
      <c r="K34" s="450">
        <f t="shared" si="6"/>
        <v>0</v>
      </c>
      <c r="N34" s="77">
        <f t="shared" si="4"/>
        <v>209</v>
      </c>
    </row>
    <row r="35" spans="1:14">
      <c r="A35" s="77">
        <f t="shared" si="5"/>
        <v>210</v>
      </c>
      <c r="D35" s="344" t="s">
        <v>1662</v>
      </c>
      <c r="E35" s="655"/>
      <c r="F35" s="656"/>
      <c r="G35" s="657"/>
      <c r="H35" s="658"/>
      <c r="I35" s="350"/>
      <c r="N35" s="77">
        <f t="shared" si="4"/>
        <v>210</v>
      </c>
    </row>
    <row r="36" spans="1:14">
      <c r="A36" s="77">
        <f t="shared" si="5"/>
        <v>211</v>
      </c>
      <c r="D36" s="692"/>
      <c r="E36" s="691" t="s">
        <v>1663</v>
      </c>
      <c r="F36" s="679">
        <f>'24-Allocators'!C33</f>
        <v>0.21932528287670497</v>
      </c>
      <c r="G36" s="689" t="s">
        <v>1664</v>
      </c>
      <c r="H36" s="696" t="s">
        <v>1588</v>
      </c>
      <c r="I36" s="649"/>
      <c r="J36" s="820">
        <f>'19-AandG original'!F36</f>
        <v>0.21932528287670497</v>
      </c>
      <c r="K36" s="820">
        <f t="shared" ref="K36:K38" si="7">F36-J36</f>
        <v>0</v>
      </c>
      <c r="N36" s="77">
        <f t="shared" si="4"/>
        <v>211</v>
      </c>
    </row>
    <row r="37" spans="1:14">
      <c r="A37" s="77">
        <f t="shared" si="5"/>
        <v>212</v>
      </c>
      <c r="D37" s="342"/>
      <c r="E37" s="95" t="s">
        <v>1665</v>
      </c>
      <c r="F37" s="450">
        <f>F28</f>
        <v>21022355.130000003</v>
      </c>
      <c r="G37" s="79" t="s">
        <v>1666</v>
      </c>
      <c r="H37" s="643"/>
      <c r="I37" s="644"/>
      <c r="J37" s="450">
        <f>'19-AandG original'!F37</f>
        <v>21022355.130000003</v>
      </c>
      <c r="K37" s="450">
        <f t="shared" si="7"/>
        <v>0</v>
      </c>
      <c r="N37" s="77">
        <f t="shared" si="4"/>
        <v>212</v>
      </c>
    </row>
    <row r="38" spans="1:14">
      <c r="A38" s="77">
        <f t="shared" si="5"/>
        <v>213</v>
      </c>
      <c r="D38" s="340"/>
      <c r="E38" s="651" t="s">
        <v>1667</v>
      </c>
      <c r="F38" s="659">
        <f>F36*F37</f>
        <v>4610733.9856218006</v>
      </c>
      <c r="G38" s="653" t="s">
        <v>1668</v>
      </c>
      <c r="H38" s="660"/>
      <c r="I38" s="644"/>
      <c r="J38" s="450">
        <f>'19-AandG original'!F38</f>
        <v>4610733.9856218006</v>
      </c>
      <c r="K38" s="450">
        <f t="shared" si="7"/>
        <v>0</v>
      </c>
      <c r="N38" s="77">
        <f t="shared" si="4"/>
        <v>213</v>
      </c>
    </row>
    <row r="39" spans="1:14">
      <c r="A39" s="77">
        <f t="shared" si="5"/>
        <v>214</v>
      </c>
      <c r="D39" s="343" t="s">
        <v>1669</v>
      </c>
      <c r="E39" s="95"/>
      <c r="F39" s="661"/>
      <c r="G39" s="79"/>
      <c r="H39" s="643"/>
      <c r="I39" s="644"/>
      <c r="N39" s="77">
        <f t="shared" si="4"/>
        <v>214</v>
      </c>
    </row>
    <row r="40" spans="1:14">
      <c r="A40" s="77">
        <f t="shared" si="5"/>
        <v>215</v>
      </c>
      <c r="D40" s="342"/>
      <c r="E40" s="95" t="s">
        <v>1670</v>
      </c>
      <c r="F40" s="825">
        <f>F29</f>
        <v>1454893176.7333713</v>
      </c>
      <c r="G40" s="79" t="s">
        <v>1671</v>
      </c>
      <c r="H40" s="643"/>
      <c r="I40" s="644"/>
      <c r="J40" s="450">
        <f>'19-AandG original'!F40</f>
        <v>1482679601.8333712</v>
      </c>
      <c r="K40" s="450">
        <f t="shared" ref="K40:K42" si="8">F40-J40</f>
        <v>-27786425.099999905</v>
      </c>
      <c r="N40" s="77">
        <f t="shared" si="4"/>
        <v>215</v>
      </c>
    </row>
    <row r="41" spans="1:14">
      <c r="A41" s="77">
        <f t="shared" si="5"/>
        <v>216</v>
      </c>
      <c r="D41" s="692"/>
      <c r="E41" s="691" t="s">
        <v>1672</v>
      </c>
      <c r="F41" s="679">
        <f>'24-Allocators'!C57</f>
        <v>0.17587063739917486</v>
      </c>
      <c r="G41" s="689" t="s">
        <v>1673</v>
      </c>
      <c r="H41" s="696" t="s">
        <v>1588</v>
      </c>
      <c r="I41" s="649"/>
      <c r="J41" s="820">
        <f>'19-AandG original'!F41</f>
        <v>0.17587063739917486</v>
      </c>
      <c r="K41" s="820">
        <f t="shared" si="8"/>
        <v>0</v>
      </c>
      <c r="N41" s="77">
        <f t="shared" si="4"/>
        <v>216</v>
      </c>
    </row>
    <row r="42" spans="1:14">
      <c r="A42" s="77">
        <f t="shared" si="5"/>
        <v>217</v>
      </c>
      <c r="D42" s="342"/>
      <c r="E42" s="651" t="s">
        <v>1674</v>
      </c>
      <c r="F42" s="826">
        <f>F40*F41</f>
        <v>255872990.33980834</v>
      </c>
      <c r="G42" s="653" t="s">
        <v>1675</v>
      </c>
      <c r="H42" s="643"/>
      <c r="I42" s="644"/>
      <c r="J42" s="450">
        <f>'19-AandG original'!F42</f>
        <v>260759806.63318977</v>
      </c>
      <c r="K42" s="450">
        <f t="shared" si="8"/>
        <v>-4886816.2933814228</v>
      </c>
      <c r="N42" s="77">
        <f t="shared" si="4"/>
        <v>217</v>
      </c>
    </row>
    <row r="43" spans="1:14">
      <c r="A43" s="77">
        <f t="shared" si="5"/>
        <v>218</v>
      </c>
      <c r="D43" s="341"/>
      <c r="E43" s="655"/>
      <c r="F43" s="656"/>
      <c r="G43" s="657"/>
      <c r="H43" s="662"/>
      <c r="I43" s="644"/>
      <c r="N43" s="77">
        <f t="shared" si="4"/>
        <v>218</v>
      </c>
    </row>
    <row r="44" spans="1:14">
      <c r="A44" s="77">
        <f t="shared" si="5"/>
        <v>219</v>
      </c>
      <c r="D44" s="342"/>
      <c r="E44" s="95" t="s">
        <v>1676</v>
      </c>
      <c r="F44" s="825">
        <f>F42+F38+F34</f>
        <v>400285322.29518342</v>
      </c>
      <c r="G44" s="79" t="s">
        <v>1677</v>
      </c>
      <c r="H44" s="642"/>
      <c r="I44" s="350"/>
      <c r="J44" s="450">
        <f>'19-AandG original'!F44</f>
        <v>405172138.58856475</v>
      </c>
      <c r="K44" s="450">
        <f t="shared" ref="K44:K46" si="9">F44-J44</f>
        <v>-4886816.2933813334</v>
      </c>
      <c r="N44" s="77">
        <f t="shared" si="4"/>
        <v>219</v>
      </c>
    </row>
    <row r="45" spans="1:14">
      <c r="A45" s="77">
        <f t="shared" si="5"/>
        <v>220</v>
      </c>
      <c r="D45" s="874" t="s">
        <v>1678</v>
      </c>
      <c r="E45" s="875"/>
      <c r="F45" s="663">
        <v>-4762248.8132449165</v>
      </c>
      <c r="G45" s="79" t="s">
        <v>1679</v>
      </c>
      <c r="H45" s="642"/>
      <c r="I45" s="350"/>
      <c r="J45" s="450">
        <f>'19-AandG original'!F45</f>
        <v>-4762248.8132449165</v>
      </c>
      <c r="K45" s="450">
        <f t="shared" si="9"/>
        <v>0</v>
      </c>
      <c r="N45" s="77">
        <f t="shared" si="4"/>
        <v>220</v>
      </c>
    </row>
    <row r="46" spans="1:14">
      <c r="A46" s="77">
        <f t="shared" si="5"/>
        <v>221</v>
      </c>
      <c r="D46" s="340"/>
      <c r="E46" s="651"/>
      <c r="F46" s="826">
        <f>F44+F45</f>
        <v>395523073.48193848</v>
      </c>
      <c r="G46" s="653" t="s">
        <v>1680</v>
      </c>
      <c r="H46" s="654"/>
      <c r="I46" s="350"/>
      <c r="J46" s="450">
        <f>'19-AandG original'!F46</f>
        <v>400409889.77531981</v>
      </c>
      <c r="K46" s="450">
        <f t="shared" si="9"/>
        <v>-4886816.2933813334</v>
      </c>
      <c r="N46" s="77">
        <f t="shared" si="4"/>
        <v>221</v>
      </c>
    </row>
    <row r="47" spans="1:14">
      <c r="A47" s="77"/>
      <c r="N47" s="77"/>
    </row>
    <row r="48" spans="1:14" s="17" customFormat="1">
      <c r="A48" s="133">
        <v>300</v>
      </c>
      <c r="C48" s="208" t="s">
        <v>1681</v>
      </c>
      <c r="I48" s="388"/>
      <c r="N48" s="77">
        <f t="shared" ref="N48" si="10">A48</f>
        <v>300</v>
      </c>
    </row>
    <row r="49" spans="1:15" s="17" customFormat="1">
      <c r="A49" s="133">
        <f t="shared" ref="A49:A65" si="11">A48+1</f>
        <v>301</v>
      </c>
      <c r="E49" s="8" t="s">
        <v>443</v>
      </c>
      <c r="F49" s="675" t="s">
        <v>251</v>
      </c>
      <c r="G49" s="675" t="s">
        <v>287</v>
      </c>
      <c r="H49" s="675" t="s">
        <v>410</v>
      </c>
      <c r="I49" s="675" t="s">
        <v>411</v>
      </c>
      <c r="J49" s="675" t="s">
        <v>412</v>
      </c>
      <c r="K49" s="675" t="s">
        <v>413</v>
      </c>
      <c r="L49" s="675" t="s">
        <v>442</v>
      </c>
      <c r="M49" s="675" t="s">
        <v>457</v>
      </c>
      <c r="N49" s="77">
        <f t="shared" ref="N49:N65" si="12">A49</f>
        <v>301</v>
      </c>
    </row>
    <row r="50" spans="1:15" s="17" customFormat="1" ht="43.5">
      <c r="A50" s="507">
        <f t="shared" si="11"/>
        <v>302</v>
      </c>
      <c r="E50" s="508" t="s">
        <v>1682</v>
      </c>
      <c r="F50" s="676" t="s">
        <v>1683</v>
      </c>
      <c r="G50" s="676" t="s">
        <v>1684</v>
      </c>
      <c r="H50" s="676" t="s">
        <v>1685</v>
      </c>
      <c r="I50" s="676" t="s">
        <v>1686</v>
      </c>
      <c r="J50" s="676" t="s">
        <v>1687</v>
      </c>
      <c r="K50" s="676" t="s">
        <v>1688</v>
      </c>
      <c r="L50" s="676" t="s">
        <v>1689</v>
      </c>
      <c r="M50" s="676" t="s">
        <v>1690</v>
      </c>
      <c r="N50" s="77">
        <f t="shared" si="12"/>
        <v>302</v>
      </c>
    </row>
    <row r="51" spans="1:15" s="17" customFormat="1">
      <c r="A51" s="133">
        <f t="shared" si="11"/>
        <v>303</v>
      </c>
      <c r="C51" s="27">
        <v>920</v>
      </c>
      <c r="D51" s="17" t="s">
        <v>1595</v>
      </c>
      <c r="E51" s="426">
        <f>SUM(F51:M51)</f>
        <v>-27524754.39070797</v>
      </c>
      <c r="F51" s="445">
        <v>-11237175.324385999</v>
      </c>
      <c r="G51" s="445">
        <v>-14340152.010000002</v>
      </c>
      <c r="H51" s="445">
        <v>0</v>
      </c>
      <c r="I51" s="445">
        <v>0</v>
      </c>
      <c r="J51" s="445">
        <v>-1730786.8300000005</v>
      </c>
      <c r="K51" s="445">
        <v>-238133.06736253595</v>
      </c>
      <c r="L51" s="445">
        <v>21492.841040566404</v>
      </c>
      <c r="M51" s="415"/>
      <c r="N51" s="77">
        <f t="shared" si="12"/>
        <v>303</v>
      </c>
      <c r="O51" s="510"/>
    </row>
    <row r="52" spans="1:15" s="17" customFormat="1">
      <c r="A52" s="133">
        <f t="shared" si="11"/>
        <v>304</v>
      </c>
      <c r="C52" s="27">
        <v>921</v>
      </c>
      <c r="D52" s="17" t="s">
        <v>1599</v>
      </c>
      <c r="E52" s="426">
        <f t="shared" ref="E52:E64" si="13">SUM(F52:M52)</f>
        <v>-5729864.3201102465</v>
      </c>
      <c r="F52" s="445">
        <v>0</v>
      </c>
      <c r="G52" s="445">
        <v>-619245.60000000009</v>
      </c>
      <c r="H52" s="445">
        <v>0</v>
      </c>
      <c r="I52" s="445">
        <v>-169062.2</v>
      </c>
      <c r="J52" s="445">
        <v>-4910779.6099999985</v>
      </c>
      <c r="K52" s="445">
        <v>-30776.910110248489</v>
      </c>
      <c r="L52" s="445">
        <v>0</v>
      </c>
      <c r="M52" s="415"/>
      <c r="N52" s="77">
        <f t="shared" si="12"/>
        <v>304</v>
      </c>
      <c r="O52" s="510"/>
    </row>
    <row r="53" spans="1:15" s="17" customFormat="1">
      <c r="A53" s="133">
        <f t="shared" si="11"/>
        <v>305</v>
      </c>
      <c r="C53" s="27">
        <v>922</v>
      </c>
      <c r="D53" s="17" t="s">
        <v>1603</v>
      </c>
      <c r="E53" s="426">
        <f t="shared" si="13"/>
        <v>39864392.545218438</v>
      </c>
      <c r="F53" s="445">
        <v>0</v>
      </c>
      <c r="G53" s="445">
        <v>0</v>
      </c>
      <c r="H53" s="445">
        <v>0</v>
      </c>
      <c r="I53" s="445">
        <v>0</v>
      </c>
      <c r="J53" s="445">
        <v>39864392.545218438</v>
      </c>
      <c r="K53" s="445">
        <v>0</v>
      </c>
      <c r="L53" s="445">
        <v>0</v>
      </c>
      <c r="M53" s="415"/>
      <c r="N53" s="77">
        <f t="shared" si="12"/>
        <v>305</v>
      </c>
      <c r="O53" s="510"/>
    </row>
    <row r="54" spans="1:15" s="17" customFormat="1">
      <c r="A54" s="133">
        <f t="shared" si="11"/>
        <v>306</v>
      </c>
      <c r="C54" s="27">
        <v>923</v>
      </c>
      <c r="D54" s="17" t="s">
        <v>1607</v>
      </c>
      <c r="E54" s="426">
        <f t="shared" si="13"/>
        <v>-79382893.979107514</v>
      </c>
      <c r="F54" s="445">
        <v>-1586255.673471</v>
      </c>
      <c r="G54" s="445">
        <v>-9002757.1409829166</v>
      </c>
      <c r="H54" s="445">
        <v>-188691.142269</v>
      </c>
      <c r="I54" s="445">
        <v>-50879215.848687999</v>
      </c>
      <c r="J54" s="445">
        <v>-17782861.440000009</v>
      </c>
      <c r="K54" s="445">
        <v>-21383.077584797647</v>
      </c>
      <c r="L54" s="445">
        <v>78270.343888210962</v>
      </c>
      <c r="M54" s="415"/>
      <c r="N54" s="77">
        <f t="shared" si="12"/>
        <v>306</v>
      </c>
      <c r="O54" s="510"/>
    </row>
    <row r="55" spans="1:15" s="17" customFormat="1">
      <c r="A55" s="133">
        <f t="shared" si="11"/>
        <v>307</v>
      </c>
      <c r="C55" s="27">
        <v>924</v>
      </c>
      <c r="D55" s="17" t="s">
        <v>1058</v>
      </c>
      <c r="E55" s="426">
        <f t="shared" si="13"/>
        <v>4956686.1300000008</v>
      </c>
      <c r="F55" s="445">
        <v>0</v>
      </c>
      <c r="G55" s="445">
        <v>0</v>
      </c>
      <c r="H55" s="445">
        <v>0</v>
      </c>
      <c r="I55" s="445">
        <v>4956686.1300000008</v>
      </c>
      <c r="J55" s="445">
        <v>0</v>
      </c>
      <c r="K55" s="445">
        <v>0</v>
      </c>
      <c r="L55" s="445">
        <v>0</v>
      </c>
      <c r="M55" s="415"/>
      <c r="N55" s="77">
        <f t="shared" si="12"/>
        <v>307</v>
      </c>
      <c r="O55" s="510"/>
    </row>
    <row r="56" spans="1:15" s="17" customFormat="1">
      <c r="A56" s="133">
        <f t="shared" si="11"/>
        <v>308</v>
      </c>
      <c r="C56" s="27">
        <v>925</v>
      </c>
      <c r="D56" s="17" t="s">
        <v>1118</v>
      </c>
      <c r="E56" s="426">
        <f t="shared" si="13"/>
        <v>-266326033.39072612</v>
      </c>
      <c r="F56" s="445">
        <v>0</v>
      </c>
      <c r="G56" s="445">
        <v>0</v>
      </c>
      <c r="H56" s="445">
        <v>14814801.17</v>
      </c>
      <c r="I56" s="445">
        <v>-367761742.65000004</v>
      </c>
      <c r="J56" s="445">
        <v>86620908.0892739</v>
      </c>
      <c r="K56" s="445">
        <v>0</v>
      </c>
      <c r="L56" s="445">
        <v>0</v>
      </c>
      <c r="M56" s="415"/>
      <c r="N56" s="77">
        <f t="shared" si="12"/>
        <v>308</v>
      </c>
      <c r="O56" s="510"/>
    </row>
    <row r="57" spans="1:15" s="17" customFormat="1">
      <c r="A57" s="133">
        <f t="shared" si="11"/>
        <v>309</v>
      </c>
      <c r="C57" s="27">
        <v>926</v>
      </c>
      <c r="D57" s="17" t="s">
        <v>1617</v>
      </c>
      <c r="E57" s="426">
        <f t="shared" si="13"/>
        <v>-70562390.365655869</v>
      </c>
      <c r="F57" s="445">
        <v>0</v>
      </c>
      <c r="G57" s="445">
        <v>-5914247.1973230001</v>
      </c>
      <c r="H57" s="445">
        <v>385323.31289750693</v>
      </c>
      <c r="I57" s="445">
        <v>-1841803.25</v>
      </c>
      <c r="J57" s="445">
        <v>-62062350.496476367</v>
      </c>
      <c r="K57" s="445">
        <v>-887677.39974456478</v>
      </c>
      <c r="L57" s="445">
        <v>-241635.33500944014</v>
      </c>
      <c r="M57" s="415"/>
      <c r="N57" s="77">
        <f t="shared" si="12"/>
        <v>309</v>
      </c>
      <c r="O57" s="510"/>
    </row>
    <row r="58" spans="1:15" s="17" customFormat="1">
      <c r="A58" s="133">
        <f t="shared" si="11"/>
        <v>310</v>
      </c>
      <c r="C58" s="27">
        <v>927</v>
      </c>
      <c r="D58" s="17" t="s">
        <v>1621</v>
      </c>
      <c r="E58" s="426">
        <f t="shared" si="13"/>
        <v>-101328358</v>
      </c>
      <c r="F58" s="445">
        <v>0</v>
      </c>
      <c r="G58" s="445">
        <v>0</v>
      </c>
      <c r="H58" s="445">
        <v>0</v>
      </c>
      <c r="I58" s="445">
        <v>-101328358</v>
      </c>
      <c r="J58" s="445">
        <v>0</v>
      </c>
      <c r="K58" s="445">
        <v>0</v>
      </c>
      <c r="L58" s="445">
        <v>0</v>
      </c>
      <c r="M58" s="415"/>
      <c r="N58" s="77">
        <f t="shared" si="12"/>
        <v>310</v>
      </c>
      <c r="O58" s="510"/>
    </row>
    <row r="59" spans="1:15" s="17" customFormat="1">
      <c r="A59" s="133">
        <f t="shared" si="11"/>
        <v>311</v>
      </c>
      <c r="C59" s="27">
        <v>928</v>
      </c>
      <c r="D59" s="17" t="s">
        <v>1625</v>
      </c>
      <c r="E59" s="426">
        <f t="shared" si="13"/>
        <v>0</v>
      </c>
      <c r="F59" s="445">
        <v>0</v>
      </c>
      <c r="G59" s="445">
        <v>0</v>
      </c>
      <c r="H59" s="445">
        <v>0</v>
      </c>
      <c r="I59" s="445">
        <v>0</v>
      </c>
      <c r="J59" s="445">
        <v>0</v>
      </c>
      <c r="K59" s="445">
        <v>0</v>
      </c>
      <c r="L59" s="445">
        <v>0</v>
      </c>
      <c r="M59" s="677"/>
      <c r="N59" s="77">
        <f t="shared" si="12"/>
        <v>311</v>
      </c>
      <c r="O59" s="510"/>
    </row>
    <row r="60" spans="1:15" s="17" customFormat="1">
      <c r="A60" s="133">
        <f t="shared" si="11"/>
        <v>312</v>
      </c>
      <c r="C60" s="27">
        <v>929</v>
      </c>
      <c r="D60" s="17" t="s">
        <v>1628</v>
      </c>
      <c r="E60" s="426">
        <f t="shared" si="13"/>
        <v>0</v>
      </c>
      <c r="F60" s="445">
        <v>0</v>
      </c>
      <c r="G60" s="445">
        <v>0</v>
      </c>
      <c r="H60" s="445">
        <v>0</v>
      </c>
      <c r="I60" s="445">
        <v>0</v>
      </c>
      <c r="J60" s="445">
        <v>0</v>
      </c>
      <c r="K60" s="445">
        <v>0</v>
      </c>
      <c r="L60" s="445">
        <v>0</v>
      </c>
      <c r="M60" s="677"/>
      <c r="N60" s="77">
        <f t="shared" si="12"/>
        <v>312</v>
      </c>
      <c r="O60" s="510"/>
    </row>
    <row r="61" spans="1:15" s="17" customFormat="1">
      <c r="A61" s="133">
        <f t="shared" si="11"/>
        <v>313</v>
      </c>
      <c r="C61" s="27">
        <v>930.1</v>
      </c>
      <c r="D61" s="17" t="s">
        <v>1631</v>
      </c>
      <c r="E61" s="426">
        <f t="shared" si="13"/>
        <v>0</v>
      </c>
      <c r="F61" s="445">
        <v>0</v>
      </c>
      <c r="G61" s="445">
        <v>0</v>
      </c>
      <c r="H61" s="445">
        <v>0</v>
      </c>
      <c r="I61" s="445">
        <v>0</v>
      </c>
      <c r="J61" s="445">
        <v>0</v>
      </c>
      <c r="K61" s="445">
        <v>0</v>
      </c>
      <c r="L61" s="445">
        <v>0</v>
      </c>
      <c r="M61" s="50"/>
      <c r="N61" s="77">
        <f t="shared" si="12"/>
        <v>313</v>
      </c>
      <c r="O61" s="510"/>
    </row>
    <row r="62" spans="1:15" s="17" customFormat="1">
      <c r="A62" s="133">
        <f t="shared" si="11"/>
        <v>314</v>
      </c>
      <c r="C62" s="27">
        <v>930.2</v>
      </c>
      <c r="D62" s="17" t="s">
        <v>1635</v>
      </c>
      <c r="E62" s="426">
        <f t="shared" si="13"/>
        <v>-11214746.560000252</v>
      </c>
      <c r="F62" s="445">
        <v>0</v>
      </c>
      <c r="G62" s="445">
        <v>0</v>
      </c>
      <c r="H62" s="445">
        <v>0</v>
      </c>
      <c r="I62" s="445">
        <v>-1985072.8500002516</v>
      </c>
      <c r="J62" s="445">
        <v>-9229673.7100000009</v>
      </c>
      <c r="K62" s="445">
        <v>0</v>
      </c>
      <c r="L62" s="445">
        <v>0</v>
      </c>
      <c r="M62" s="50"/>
      <c r="N62" s="77">
        <f t="shared" si="12"/>
        <v>314</v>
      </c>
      <c r="O62" s="510"/>
    </row>
    <row r="63" spans="1:15" s="17" customFormat="1">
      <c r="A63" s="133">
        <f t="shared" si="11"/>
        <v>315</v>
      </c>
      <c r="C63" s="27">
        <v>931</v>
      </c>
      <c r="D63" s="17" t="s">
        <v>1567</v>
      </c>
      <c r="E63" s="426">
        <f t="shared" si="13"/>
        <v>0</v>
      </c>
      <c r="F63" s="445">
        <v>0</v>
      </c>
      <c r="G63" s="445">
        <v>0</v>
      </c>
      <c r="H63" s="445">
        <v>0</v>
      </c>
      <c r="I63" s="445">
        <v>0</v>
      </c>
      <c r="J63" s="445">
        <v>0</v>
      </c>
      <c r="K63" s="445">
        <v>0</v>
      </c>
      <c r="L63" s="445">
        <v>0</v>
      </c>
      <c r="M63" s="677"/>
      <c r="N63" s="77">
        <f t="shared" si="12"/>
        <v>315</v>
      </c>
      <c r="O63" s="510"/>
    </row>
    <row r="64" spans="1:15" s="17" customFormat="1">
      <c r="A64" s="133">
        <f t="shared" si="11"/>
        <v>316</v>
      </c>
      <c r="C64" s="27">
        <v>935</v>
      </c>
      <c r="D64" s="17" t="s">
        <v>1640</v>
      </c>
      <c r="E64" s="426">
        <f t="shared" si="13"/>
        <v>0</v>
      </c>
      <c r="F64" s="445">
        <v>0</v>
      </c>
      <c r="G64" s="445">
        <v>0</v>
      </c>
      <c r="H64" s="445">
        <v>0</v>
      </c>
      <c r="I64" s="445">
        <v>0</v>
      </c>
      <c r="J64" s="445">
        <v>0</v>
      </c>
      <c r="K64" s="445">
        <v>0</v>
      </c>
      <c r="L64" s="445">
        <v>0</v>
      </c>
      <c r="M64" s="678"/>
      <c r="N64" s="77">
        <f t="shared" si="12"/>
        <v>316</v>
      </c>
      <c r="O64" s="510"/>
    </row>
    <row r="65" spans="1:14" s="17" customFormat="1">
      <c r="A65" s="133">
        <f t="shared" si="11"/>
        <v>317</v>
      </c>
      <c r="D65" s="144" t="s">
        <v>1691</v>
      </c>
      <c r="E65" s="511">
        <f>SUM(E51:E64)</f>
        <v>-517247962.33108956</v>
      </c>
      <c r="F65" s="511">
        <f>SUM(F51:F64)</f>
        <v>-12823430.997856999</v>
      </c>
      <c r="G65" s="511">
        <f t="shared" ref="G65:M65" si="14">SUM(G51:G64)</f>
        <v>-29876401.94830592</v>
      </c>
      <c r="H65" s="511">
        <f t="shared" si="14"/>
        <v>15011433.340628507</v>
      </c>
      <c r="I65" s="511">
        <f t="shared" si="14"/>
        <v>-519008568.6686883</v>
      </c>
      <c r="J65" s="511">
        <f t="shared" si="14"/>
        <v>30768848.54801596</v>
      </c>
      <c r="K65" s="511">
        <f t="shared" si="14"/>
        <v>-1177970.4548021469</v>
      </c>
      <c r="L65" s="511">
        <f t="shared" si="14"/>
        <v>-141872.15008066277</v>
      </c>
      <c r="M65" s="511">
        <f t="shared" si="14"/>
        <v>0</v>
      </c>
      <c r="N65" s="77">
        <f t="shared" si="12"/>
        <v>317</v>
      </c>
    </row>
    <row r="66" spans="1:14" s="17" customFormat="1">
      <c r="A66" s="133"/>
      <c r="E66" s="509"/>
      <c r="F66" s="509"/>
      <c r="G66" s="509"/>
      <c r="H66" s="509"/>
      <c r="I66" s="512"/>
      <c r="J66" s="509"/>
      <c r="K66" s="509"/>
      <c r="N66" s="133"/>
    </row>
    <row r="67" spans="1:14" s="17" customFormat="1">
      <c r="A67" s="133"/>
      <c r="I67" s="388"/>
      <c r="N67" s="133"/>
    </row>
    <row r="68" spans="1:14" s="17" customFormat="1">
      <c r="A68" s="133"/>
      <c r="C68" s="144" t="s">
        <v>306</v>
      </c>
      <c r="I68" s="388"/>
      <c r="N68" s="133"/>
    </row>
    <row r="69" spans="1:14">
      <c r="C69" s="339">
        <v>1</v>
      </c>
      <c r="D69" s="93" t="s">
        <v>1692</v>
      </c>
      <c r="E69" s="93"/>
      <c r="F69" s="785"/>
      <c r="G69" s="785"/>
      <c r="H69" s="785"/>
      <c r="I69" s="785"/>
      <c r="J69" s="785"/>
      <c r="K69" s="785"/>
      <c r="L69" s="93"/>
      <c r="M69" s="93"/>
      <c r="N69" s="93"/>
    </row>
    <row r="70" spans="1:14">
      <c r="C70" s="339">
        <v>2</v>
      </c>
      <c r="D70" s="93" t="s">
        <v>1693</v>
      </c>
      <c r="E70" s="785"/>
      <c r="F70" s="785"/>
      <c r="G70" s="785"/>
      <c r="H70" s="785"/>
      <c r="I70" s="785"/>
      <c r="J70" s="785"/>
      <c r="K70" s="785"/>
      <c r="L70" s="93"/>
      <c r="M70" s="93"/>
      <c r="N70" s="93"/>
    </row>
    <row r="71" spans="1:14" s="17" customFormat="1">
      <c r="A71" s="133"/>
      <c r="C71" s="133">
        <v>3</v>
      </c>
      <c r="D71" s="415" t="s">
        <v>1694</v>
      </c>
      <c r="E71" s="415"/>
      <c r="F71" s="415"/>
      <c r="G71" s="415"/>
      <c r="H71" s="415"/>
      <c r="I71" s="786"/>
      <c r="J71" s="415"/>
      <c r="K71" s="415"/>
      <c r="L71" s="415"/>
      <c r="M71" s="415"/>
      <c r="N71" s="787"/>
    </row>
    <row r="72" spans="1:14" s="17" customFormat="1">
      <c r="A72" s="133"/>
      <c r="C72" s="133">
        <v>4</v>
      </c>
      <c r="D72" s="415" t="s">
        <v>1695</v>
      </c>
      <c r="E72" s="415"/>
      <c r="F72" s="415"/>
      <c r="G72" s="415"/>
      <c r="H72" s="415"/>
      <c r="I72" s="786"/>
      <c r="J72" s="415"/>
      <c r="K72" s="415"/>
      <c r="L72" s="415"/>
      <c r="M72" s="415"/>
      <c r="N72" s="787"/>
    </row>
    <row r="73" spans="1:14" s="17" customFormat="1">
      <c r="A73" s="133"/>
      <c r="C73" s="8">
        <v>5</v>
      </c>
      <c r="D73" s="415" t="s">
        <v>1696</v>
      </c>
      <c r="E73" s="415"/>
      <c r="F73" s="415"/>
      <c r="G73" s="415"/>
      <c r="H73" s="415"/>
      <c r="I73" s="786"/>
      <c r="J73" s="415"/>
      <c r="K73" s="415"/>
      <c r="L73" s="415"/>
      <c r="M73" s="415"/>
      <c r="N73" s="787"/>
    </row>
    <row r="74" spans="1:14" s="17" customFormat="1">
      <c r="A74" s="133"/>
      <c r="C74" s="8">
        <v>6</v>
      </c>
      <c r="D74" s="415" t="s">
        <v>1697</v>
      </c>
      <c r="E74" s="415"/>
      <c r="F74" s="415"/>
      <c r="G74" s="415"/>
      <c r="H74" s="415"/>
      <c r="I74" s="786"/>
      <c r="J74" s="415"/>
      <c r="K74" s="415"/>
      <c r="L74" s="415"/>
      <c r="M74" s="415"/>
      <c r="N74" s="787"/>
    </row>
    <row r="75" spans="1:14" s="17" customFormat="1">
      <c r="A75" s="133"/>
      <c r="C75" s="8">
        <v>7</v>
      </c>
      <c r="D75" s="415" t="s">
        <v>1698</v>
      </c>
      <c r="E75" s="415"/>
      <c r="F75" s="415"/>
      <c r="G75" s="415"/>
      <c r="H75" s="415"/>
      <c r="I75" s="786"/>
      <c r="J75" s="415"/>
      <c r="K75" s="415"/>
      <c r="L75" s="415"/>
      <c r="M75" s="415"/>
      <c r="N75" s="787"/>
    </row>
    <row r="76" spans="1:14" s="17" customFormat="1">
      <c r="A76" s="133"/>
      <c r="C76" s="8">
        <v>8</v>
      </c>
      <c r="D76" s="415" t="s">
        <v>1699</v>
      </c>
      <c r="E76" s="415"/>
      <c r="F76" s="415"/>
      <c r="G76" s="415"/>
      <c r="H76" s="415"/>
      <c r="I76" s="786"/>
      <c r="J76" s="415"/>
      <c r="K76" s="415"/>
      <c r="L76" s="415"/>
      <c r="M76" s="415"/>
      <c r="N76" s="787"/>
    </row>
    <row r="77" spans="1:14" s="17" customFormat="1">
      <c r="A77" s="133"/>
      <c r="C77" s="8">
        <v>9</v>
      </c>
      <c r="D77" s="415" t="s">
        <v>1700</v>
      </c>
      <c r="E77" s="415"/>
      <c r="F77" s="415"/>
      <c r="G77" s="415"/>
      <c r="H77" s="415"/>
      <c r="I77" s="786"/>
      <c r="J77" s="415"/>
      <c r="K77" s="415"/>
      <c r="L77" s="415"/>
      <c r="M77" s="415"/>
      <c r="N77" s="787"/>
    </row>
    <row r="78" spans="1:14" s="17" customFormat="1">
      <c r="A78" s="133"/>
      <c r="C78" s="8">
        <v>10</v>
      </c>
      <c r="D78" s="415" t="s">
        <v>1701</v>
      </c>
      <c r="E78" s="415"/>
      <c r="F78" s="415"/>
      <c r="G78" s="415"/>
      <c r="H78" s="415"/>
      <c r="I78" s="786"/>
      <c r="J78" s="415"/>
      <c r="K78" s="415"/>
      <c r="L78" s="415"/>
      <c r="M78" s="415"/>
      <c r="N78" s="787"/>
    </row>
    <row r="79" spans="1:14" ht="15" customHeight="1">
      <c r="C79" s="133">
        <v>11</v>
      </c>
      <c r="D79" s="876" t="s">
        <v>1702</v>
      </c>
      <c r="E79" s="876"/>
      <c r="F79" s="876"/>
      <c r="G79" s="876"/>
      <c r="H79" s="876"/>
      <c r="I79" s="876"/>
      <c r="J79" s="876"/>
      <c r="K79" s="876"/>
      <c r="L79" s="876"/>
      <c r="M79" s="876"/>
      <c r="N79" s="93"/>
    </row>
    <row r="80" spans="1:14" ht="63" customHeight="1">
      <c r="D80" s="876"/>
      <c r="E80" s="876"/>
      <c r="F80" s="876"/>
      <c r="G80" s="876"/>
      <c r="H80" s="876"/>
      <c r="I80" s="876"/>
      <c r="J80" s="876"/>
      <c r="K80" s="876"/>
      <c r="L80" s="876"/>
      <c r="M80" s="876"/>
      <c r="N80" s="93"/>
    </row>
    <row r="81" spans="3:14">
      <c r="C81" s="8">
        <v>12</v>
      </c>
      <c r="D81" s="876" t="s">
        <v>1703</v>
      </c>
      <c r="E81" s="876"/>
      <c r="F81" s="876"/>
      <c r="G81" s="876"/>
      <c r="H81" s="876"/>
      <c r="I81" s="876"/>
      <c r="J81" s="876"/>
      <c r="K81" s="876"/>
      <c r="L81" s="876"/>
      <c r="M81" s="876"/>
      <c r="N81" s="876"/>
    </row>
    <row r="82" spans="3:14">
      <c r="C82" s="133"/>
      <c r="D82" s="876"/>
      <c r="E82" s="876"/>
      <c r="F82" s="876"/>
      <c r="G82" s="876"/>
      <c r="H82" s="876"/>
      <c r="I82" s="876"/>
      <c r="J82" s="876"/>
      <c r="K82" s="876"/>
      <c r="L82" s="876"/>
      <c r="M82" s="876"/>
      <c r="N82" s="876"/>
    </row>
    <row r="83" spans="3:14">
      <c r="C83" s="8"/>
      <c r="D83" s="17"/>
    </row>
    <row r="84" spans="3:14">
      <c r="C84" s="8"/>
      <c r="D84" s="17"/>
    </row>
    <row r="85" spans="3:14">
      <c r="C85" s="8"/>
      <c r="D85" s="17"/>
    </row>
    <row r="86" spans="3:14">
      <c r="C86" s="8"/>
      <c r="D86" s="17"/>
    </row>
    <row r="87" spans="3:14">
      <c r="C87" s="8"/>
      <c r="D87" s="17"/>
    </row>
    <row r="88" spans="3:14">
      <c r="C88" s="8"/>
      <c r="D88" s="17"/>
    </row>
    <row r="89" spans="3:14">
      <c r="C89" s="8"/>
      <c r="D89" s="17"/>
    </row>
    <row r="144" spans="11:11">
      <c r="K144" s="70" t="e">
        <f>E30/E144*E151</f>
        <v>#VALUE!</v>
      </c>
    </row>
    <row r="160" spans="10:10">
      <c r="J160" s="70">
        <f>E160-D160</f>
        <v>0</v>
      </c>
    </row>
  </sheetData>
  <mergeCells count="3">
    <mergeCell ref="D45:E45"/>
    <mergeCell ref="D79:M80"/>
    <mergeCell ref="D81:N82"/>
  </mergeCells>
  <printOptions horizontalCentered="1"/>
  <pageMargins left="1" right="1" top="1" bottom="1" header="0.5" footer="0.5"/>
  <pageSetup scale="41"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73AC8-841C-40F9-BE18-94C446ADA4FE}">
  <sheetPr>
    <tabColor rgb="FFC00000"/>
    <pageSetUpPr fitToPage="1"/>
  </sheetPr>
  <dimension ref="A1:AA160"/>
  <sheetViews>
    <sheetView tabSelected="1" view="pageBreakPreview" topLeftCell="A12" zoomScale="70" zoomScaleNormal="70" zoomScaleSheetLayoutView="70" zoomScalePageLayoutView="55" workbookViewId="0">
      <pane xSplit="4" topLeftCell="E1" activePane="topRight" state="frozen"/>
      <selection activeCell="E174" sqref="E174"/>
      <selection pane="topRight" activeCell="E174" sqref="E174"/>
    </sheetView>
  </sheetViews>
  <sheetFormatPr defaultColWidth="9.1796875" defaultRowHeight="14.5"/>
  <cols>
    <col min="1" max="1" width="7.26953125" style="70" bestFit="1" customWidth="1"/>
    <col min="2" max="2" width="2.7265625" style="70" customWidth="1"/>
    <col min="3" max="3" width="6.7265625" style="70" customWidth="1"/>
    <col min="4" max="4" width="61.81640625" style="70" customWidth="1"/>
    <col min="5" max="5" width="22.453125" style="70" customWidth="1"/>
    <col min="6" max="6" width="20.7265625" style="70" customWidth="1"/>
    <col min="7" max="7" width="22" style="70" customWidth="1"/>
    <col min="8" max="8" width="22" style="70" bestFit="1" customWidth="1"/>
    <col min="9" max="9" width="23" style="95" customWidth="1"/>
    <col min="10" max="10" width="13.453125" style="70" customWidth="1"/>
    <col min="11" max="11" width="25.1796875" style="70" customWidth="1"/>
    <col min="12" max="12" width="25" style="70" bestFit="1" customWidth="1"/>
    <col min="13" max="13" width="20.54296875" style="70" bestFit="1" customWidth="1"/>
    <col min="14" max="14" width="7.26953125" style="70" bestFit="1" customWidth="1"/>
    <col min="15" max="15" width="10.7265625" style="70" bestFit="1" customWidth="1"/>
    <col min="16" max="16384" width="9.1796875" style="70"/>
  </cols>
  <sheetData>
    <row r="1" spans="1:27">
      <c r="A1" s="92"/>
      <c r="B1" s="92" t="s">
        <v>53</v>
      </c>
      <c r="M1" s="15" t="s">
        <v>1583</v>
      </c>
      <c r="N1" s="92"/>
    </row>
    <row r="2" spans="1:27">
      <c r="A2" s="92"/>
      <c r="B2" s="411" t="s">
        <v>1584</v>
      </c>
      <c r="C2" s="93"/>
      <c r="D2" s="93"/>
      <c r="K2" s="77"/>
      <c r="L2" s="171"/>
      <c r="N2" s="92"/>
    </row>
    <row r="3" spans="1:27">
      <c r="A3" s="92"/>
      <c r="K3" s="171"/>
      <c r="L3" s="171"/>
      <c r="N3" s="92"/>
    </row>
    <row r="4" spans="1:27">
      <c r="A4" s="97" t="s">
        <v>1045</v>
      </c>
      <c r="K4" s="171"/>
      <c r="L4" s="171"/>
      <c r="N4" s="97" t="s">
        <v>1045</v>
      </c>
    </row>
    <row r="5" spans="1:27">
      <c r="A5" s="77">
        <v>100</v>
      </c>
      <c r="C5" s="92" t="s">
        <v>1585</v>
      </c>
      <c r="E5" s="94" t="s">
        <v>371</v>
      </c>
      <c r="F5" s="94" t="s">
        <v>372</v>
      </c>
      <c r="G5" s="94" t="s">
        <v>373</v>
      </c>
      <c r="H5" s="94" t="s">
        <v>374</v>
      </c>
      <c r="I5" s="94" t="s">
        <v>1586</v>
      </c>
      <c r="J5" s="97" t="s">
        <v>376</v>
      </c>
      <c r="K5" s="97" t="s">
        <v>1587</v>
      </c>
      <c r="L5" s="97"/>
      <c r="N5" s="77">
        <v>100</v>
      </c>
    </row>
    <row r="6" spans="1:27">
      <c r="A6" s="77">
        <v>101</v>
      </c>
      <c r="G6" s="339" t="s">
        <v>1588</v>
      </c>
      <c r="J6" s="339" t="s">
        <v>1179</v>
      </c>
      <c r="N6" s="77">
        <v>101</v>
      </c>
    </row>
    <row r="7" spans="1:27">
      <c r="A7" s="77">
        <v>102</v>
      </c>
      <c r="E7" s="77" t="s">
        <v>644</v>
      </c>
      <c r="F7" s="77" t="s">
        <v>1589</v>
      </c>
      <c r="G7" s="77" t="s">
        <v>1590</v>
      </c>
      <c r="H7" s="77" t="s">
        <v>1589</v>
      </c>
      <c r="I7" s="77" t="s">
        <v>1591</v>
      </c>
      <c r="J7" s="77" t="s">
        <v>1591</v>
      </c>
      <c r="K7" s="77" t="s">
        <v>1592</v>
      </c>
      <c r="L7" s="77"/>
      <c r="N7" s="77">
        <v>102</v>
      </c>
    </row>
    <row r="8" spans="1:27">
      <c r="A8" s="77">
        <v>103</v>
      </c>
      <c r="B8" s="97"/>
      <c r="C8" s="97" t="s">
        <v>1593</v>
      </c>
      <c r="D8" s="97" t="s">
        <v>6</v>
      </c>
      <c r="E8" s="97" t="s">
        <v>593</v>
      </c>
      <c r="F8" s="97" t="s">
        <v>135</v>
      </c>
      <c r="G8" s="97" t="s">
        <v>593</v>
      </c>
      <c r="H8" s="97" t="s">
        <v>135</v>
      </c>
      <c r="I8" s="97" t="s">
        <v>593</v>
      </c>
      <c r="J8" s="97" t="s">
        <v>1594</v>
      </c>
      <c r="K8" s="97" t="s">
        <v>268</v>
      </c>
      <c r="L8" s="97" t="s">
        <v>594</v>
      </c>
      <c r="N8" s="77">
        <v>103</v>
      </c>
      <c r="O8" s="97"/>
      <c r="P8" s="97"/>
      <c r="Q8" s="97"/>
      <c r="R8" s="97"/>
      <c r="S8" s="97"/>
      <c r="T8" s="97"/>
      <c r="U8" s="97"/>
      <c r="V8" s="97"/>
      <c r="W8" s="97"/>
      <c r="X8" s="97"/>
      <c r="Y8" s="97"/>
      <c r="Z8" s="97"/>
      <c r="AA8" s="97"/>
    </row>
    <row r="9" spans="1:27">
      <c r="A9" s="77">
        <v>104</v>
      </c>
      <c r="C9" s="171">
        <v>920</v>
      </c>
      <c r="D9" s="70" t="s">
        <v>1595</v>
      </c>
      <c r="E9" s="454">
        <v>404709415</v>
      </c>
      <c r="F9" s="171" t="s">
        <v>1596</v>
      </c>
      <c r="G9" s="454"/>
      <c r="H9" s="171" t="s">
        <v>1597</v>
      </c>
      <c r="I9" s="450">
        <v>404709415</v>
      </c>
      <c r="J9" s="454">
        <v>27524754.390707966</v>
      </c>
      <c r="K9" s="450">
        <v>377184660.60929203</v>
      </c>
      <c r="L9" s="70" t="s">
        <v>1598</v>
      </c>
      <c r="N9" s="77">
        <v>104</v>
      </c>
    </row>
    <row r="10" spans="1:27">
      <c r="A10" s="77">
        <v>105</v>
      </c>
      <c r="C10" s="171">
        <v>921</v>
      </c>
      <c r="D10" s="70" t="s">
        <v>1599</v>
      </c>
      <c r="E10" s="454">
        <v>60800833</v>
      </c>
      <c r="F10" s="171" t="s">
        <v>1600</v>
      </c>
      <c r="G10" s="454"/>
      <c r="H10" s="171" t="s">
        <v>1601</v>
      </c>
      <c r="I10" s="450">
        <v>60800833</v>
      </c>
      <c r="J10" s="454">
        <v>5729864.3201102465</v>
      </c>
      <c r="K10" s="450">
        <v>55070968.679889753</v>
      </c>
      <c r="L10" s="70" t="s">
        <v>1602</v>
      </c>
      <c r="N10" s="77">
        <v>105</v>
      </c>
    </row>
    <row r="11" spans="1:27">
      <c r="A11" s="77">
        <v>106</v>
      </c>
      <c r="C11" s="171">
        <v>922</v>
      </c>
      <c r="D11" s="70" t="s">
        <v>1603</v>
      </c>
      <c r="E11" s="454">
        <v>-148789230</v>
      </c>
      <c r="F11" s="171" t="s">
        <v>1604</v>
      </c>
      <c r="G11" s="454"/>
      <c r="H11" s="171" t="s">
        <v>1605</v>
      </c>
      <c r="I11" s="450">
        <v>-148789230</v>
      </c>
      <c r="J11" s="454">
        <v>-39864392.545218438</v>
      </c>
      <c r="K11" s="450">
        <v>-108924837.45478156</v>
      </c>
      <c r="L11" s="70" t="s">
        <v>1606</v>
      </c>
      <c r="N11" s="77">
        <v>106</v>
      </c>
    </row>
    <row r="12" spans="1:27">
      <c r="A12" s="77">
        <v>107</v>
      </c>
      <c r="B12" s="77"/>
      <c r="C12" s="171">
        <v>923</v>
      </c>
      <c r="D12" s="70" t="s">
        <v>1607</v>
      </c>
      <c r="E12" s="454">
        <v>346863593</v>
      </c>
      <c r="F12" s="171" t="s">
        <v>1608</v>
      </c>
      <c r="G12" s="454"/>
      <c r="H12" s="171" t="s">
        <v>1609</v>
      </c>
      <c r="I12" s="450">
        <v>346863593</v>
      </c>
      <c r="J12" s="454">
        <v>79382893.979107529</v>
      </c>
      <c r="K12" s="450">
        <v>267480699.02089247</v>
      </c>
      <c r="L12" s="70" t="s">
        <v>1610</v>
      </c>
      <c r="N12" s="77">
        <v>107</v>
      </c>
    </row>
    <row r="13" spans="1:27">
      <c r="A13" s="77">
        <v>108</v>
      </c>
      <c r="B13" s="77"/>
      <c r="C13" s="171">
        <v>924</v>
      </c>
      <c r="D13" s="70" t="s">
        <v>1058</v>
      </c>
      <c r="E13" s="454">
        <v>16065669</v>
      </c>
      <c r="F13" s="171" t="s">
        <v>1611</v>
      </c>
      <c r="G13" s="454"/>
      <c r="H13" s="171" t="s">
        <v>1612</v>
      </c>
      <c r="I13" s="450">
        <v>16065669</v>
      </c>
      <c r="J13" s="454">
        <v>-4956686.1300000008</v>
      </c>
      <c r="K13" s="450">
        <v>21022355.130000003</v>
      </c>
      <c r="L13" s="70" t="s">
        <v>1613</v>
      </c>
      <c r="N13" s="77">
        <v>108</v>
      </c>
    </row>
    <row r="14" spans="1:27">
      <c r="A14" s="77">
        <v>109</v>
      </c>
      <c r="B14" s="77"/>
      <c r="C14" s="171">
        <v>925</v>
      </c>
      <c r="D14" s="70" t="s">
        <v>1118</v>
      </c>
      <c r="E14" s="454">
        <v>1781245931</v>
      </c>
      <c r="F14" s="171" t="s">
        <v>1614</v>
      </c>
      <c r="G14" s="454"/>
      <c r="H14" s="171" t="s">
        <v>1615</v>
      </c>
      <c r="I14" s="450">
        <v>1781245931</v>
      </c>
      <c r="J14" s="454">
        <v>266326033.39072606</v>
      </c>
      <c r="K14" s="450">
        <v>1514919897.6092739</v>
      </c>
      <c r="L14" s="70" t="s">
        <v>1616</v>
      </c>
      <c r="N14" s="77">
        <v>109</v>
      </c>
    </row>
    <row r="15" spans="1:27">
      <c r="A15" s="77">
        <v>110</v>
      </c>
      <c r="B15" s="77"/>
      <c r="C15" s="171">
        <v>926</v>
      </c>
      <c r="D15" s="70" t="s">
        <v>1617</v>
      </c>
      <c r="E15" s="454">
        <v>390655154</v>
      </c>
      <c r="F15" s="171" t="s">
        <v>1618</v>
      </c>
      <c r="G15" s="454"/>
      <c r="H15" s="171" t="s">
        <v>1619</v>
      </c>
      <c r="I15" s="450">
        <v>390655154</v>
      </c>
      <c r="J15" s="454">
        <v>70562390.365655869</v>
      </c>
      <c r="K15" s="450">
        <v>320092763.6343441</v>
      </c>
      <c r="L15" s="70" t="s">
        <v>1620</v>
      </c>
      <c r="N15" s="77">
        <v>110</v>
      </c>
    </row>
    <row r="16" spans="1:27">
      <c r="A16" s="77">
        <v>111</v>
      </c>
      <c r="B16" s="77"/>
      <c r="C16" s="171">
        <v>927</v>
      </c>
      <c r="D16" s="70" t="s">
        <v>1621</v>
      </c>
      <c r="E16" s="454">
        <v>101328358</v>
      </c>
      <c r="F16" s="171" t="s">
        <v>1622</v>
      </c>
      <c r="G16" s="454"/>
      <c r="H16" s="171" t="s">
        <v>1623</v>
      </c>
      <c r="I16" s="450">
        <v>101328358</v>
      </c>
      <c r="J16" s="454">
        <v>101328358</v>
      </c>
      <c r="K16" s="450">
        <v>0</v>
      </c>
      <c r="L16" s="70" t="s">
        <v>1624</v>
      </c>
      <c r="N16" s="77">
        <v>111</v>
      </c>
    </row>
    <row r="17" spans="1:14">
      <c r="A17" s="77">
        <v>112</v>
      </c>
      <c r="B17" s="77"/>
      <c r="C17" s="171">
        <v>928</v>
      </c>
      <c r="D17" s="70" t="s">
        <v>1625</v>
      </c>
      <c r="E17" s="454">
        <v>0</v>
      </c>
      <c r="F17" s="171" t="s">
        <v>1626</v>
      </c>
      <c r="G17" s="454"/>
      <c r="H17" s="171" t="s">
        <v>1627</v>
      </c>
      <c r="I17" s="450">
        <v>0</v>
      </c>
      <c r="J17" s="454">
        <v>0</v>
      </c>
      <c r="K17" s="450">
        <v>0</v>
      </c>
      <c r="L17" s="92" t="s">
        <v>1180</v>
      </c>
      <c r="N17" s="77">
        <v>112</v>
      </c>
    </row>
    <row r="18" spans="1:14">
      <c r="A18" s="77">
        <v>113</v>
      </c>
      <c r="B18" s="77"/>
      <c r="C18" s="171">
        <v>929</v>
      </c>
      <c r="D18" s="70" t="s">
        <v>1628</v>
      </c>
      <c r="E18" s="454">
        <v>0</v>
      </c>
      <c r="F18" s="171" t="s">
        <v>1629</v>
      </c>
      <c r="G18" s="454"/>
      <c r="H18" s="171" t="s">
        <v>1630</v>
      </c>
      <c r="I18" s="450">
        <v>0</v>
      </c>
      <c r="J18" s="454">
        <v>0</v>
      </c>
      <c r="K18" s="450">
        <v>0</v>
      </c>
      <c r="L18" s="92" t="s">
        <v>1180</v>
      </c>
      <c r="N18" s="77">
        <v>113</v>
      </c>
    </row>
    <row r="19" spans="1:14">
      <c r="A19" s="77">
        <v>114</v>
      </c>
      <c r="B19" s="77"/>
      <c r="C19" s="171">
        <v>930.1</v>
      </c>
      <c r="D19" s="70" t="s">
        <v>1631</v>
      </c>
      <c r="E19" s="445">
        <v>579767</v>
      </c>
      <c r="F19" s="171" t="s">
        <v>1632</v>
      </c>
      <c r="G19" s="454"/>
      <c r="H19" s="171" t="s">
        <v>1633</v>
      </c>
      <c r="I19" s="450">
        <v>579767</v>
      </c>
      <c r="J19" s="454">
        <v>0</v>
      </c>
      <c r="K19" s="450">
        <v>579767</v>
      </c>
      <c r="L19" s="70" t="s">
        <v>1634</v>
      </c>
      <c r="N19" s="77">
        <v>114</v>
      </c>
    </row>
    <row r="20" spans="1:14">
      <c r="A20" s="77">
        <v>115</v>
      </c>
      <c r="B20" s="77"/>
      <c r="C20" s="171">
        <v>930.2</v>
      </c>
      <c r="D20" s="70" t="s">
        <v>1635</v>
      </c>
      <c r="E20" s="445">
        <v>16158682</v>
      </c>
      <c r="F20" s="171" t="s">
        <v>1636</v>
      </c>
      <c r="G20" s="454"/>
      <c r="H20" s="171" t="s">
        <v>1637</v>
      </c>
      <c r="I20" s="450">
        <v>16158682</v>
      </c>
      <c r="J20" s="454">
        <v>11214746.560000252</v>
      </c>
      <c r="K20" s="450">
        <v>4943935.439999748</v>
      </c>
      <c r="L20" s="70" t="s">
        <v>1634</v>
      </c>
      <c r="N20" s="77">
        <v>115</v>
      </c>
    </row>
    <row r="21" spans="1:14">
      <c r="A21" s="77">
        <v>116</v>
      </c>
      <c r="B21" s="77"/>
      <c r="C21" s="171">
        <v>931</v>
      </c>
      <c r="D21" s="70" t="s">
        <v>1567</v>
      </c>
      <c r="E21" s="454">
        <v>0</v>
      </c>
      <c r="F21" s="171" t="s">
        <v>1638</v>
      </c>
      <c r="G21" s="454"/>
      <c r="H21" s="171" t="s">
        <v>1639</v>
      </c>
      <c r="I21" s="450">
        <v>0</v>
      </c>
      <c r="J21" s="454">
        <v>0</v>
      </c>
      <c r="K21" s="450">
        <v>0</v>
      </c>
      <c r="L21" s="92" t="s">
        <v>1180</v>
      </c>
      <c r="N21" s="77">
        <v>116</v>
      </c>
    </row>
    <row r="22" spans="1:14">
      <c r="A22" s="77">
        <v>117</v>
      </c>
      <c r="B22" s="77"/>
      <c r="C22" s="171">
        <v>935</v>
      </c>
      <c r="D22" s="70" t="s">
        <v>1640</v>
      </c>
      <c r="E22" s="455">
        <v>3004766</v>
      </c>
      <c r="F22" s="171" t="s">
        <v>1641</v>
      </c>
      <c r="G22" s="455"/>
      <c r="H22" s="171" t="s">
        <v>1642</v>
      </c>
      <c r="I22" s="452">
        <v>3004766</v>
      </c>
      <c r="J22" s="455">
        <v>0</v>
      </c>
      <c r="K22" s="452">
        <v>3004766</v>
      </c>
      <c r="L22" s="70" t="s">
        <v>1643</v>
      </c>
      <c r="N22" s="77">
        <v>117</v>
      </c>
    </row>
    <row r="23" spans="1:14" s="92" customFormat="1">
      <c r="A23" s="77">
        <v>118</v>
      </c>
      <c r="D23" s="351" t="s">
        <v>1644</v>
      </c>
      <c r="E23" s="451">
        <v>2972622938</v>
      </c>
      <c r="F23" s="171" t="s">
        <v>1645</v>
      </c>
      <c r="G23" s="451">
        <v>0</v>
      </c>
      <c r="H23" s="171" t="s">
        <v>1646</v>
      </c>
      <c r="I23" s="453">
        <v>2972622938</v>
      </c>
      <c r="J23" s="453">
        <v>517247962.33108944</v>
      </c>
      <c r="K23" s="451">
        <v>2455374975.66891</v>
      </c>
      <c r="N23" s="77">
        <v>118</v>
      </c>
    </row>
    <row r="24" spans="1:14">
      <c r="A24" s="77"/>
      <c r="I24" s="350"/>
      <c r="N24" s="77"/>
    </row>
    <row r="25" spans="1:14">
      <c r="A25" s="77">
        <v>200</v>
      </c>
      <c r="C25" s="92" t="s">
        <v>1647</v>
      </c>
      <c r="I25" s="350"/>
      <c r="N25" s="77">
        <v>200</v>
      </c>
    </row>
    <row r="26" spans="1:14">
      <c r="A26" s="77">
        <v>201</v>
      </c>
      <c r="D26" s="344" t="s">
        <v>1648</v>
      </c>
      <c r="E26" s="349"/>
      <c r="F26" s="348" t="s">
        <v>593</v>
      </c>
      <c r="G26" s="348" t="s">
        <v>135</v>
      </c>
      <c r="H26" s="347"/>
      <c r="I26" s="346"/>
      <c r="K26" s="82"/>
      <c r="N26" s="77">
        <v>201</v>
      </c>
    </row>
    <row r="27" spans="1:14">
      <c r="A27" s="77">
        <v>202</v>
      </c>
      <c r="D27" s="342"/>
      <c r="E27" s="95" t="s">
        <v>1649</v>
      </c>
      <c r="F27" s="450">
        <v>2455374975.66891</v>
      </c>
      <c r="G27" s="79" t="s">
        <v>1650</v>
      </c>
      <c r="H27" s="642"/>
      <c r="I27" s="350"/>
      <c r="N27" s="77">
        <v>202</v>
      </c>
    </row>
    <row r="28" spans="1:14">
      <c r="A28" s="77">
        <v>203</v>
      </c>
      <c r="D28" s="342"/>
      <c r="E28" s="95" t="s">
        <v>1651</v>
      </c>
      <c r="F28" s="450">
        <v>21022355.130000003</v>
      </c>
      <c r="G28" s="79" t="s">
        <v>1652</v>
      </c>
      <c r="H28" s="643"/>
      <c r="I28" s="644"/>
      <c r="J28" s="645"/>
      <c r="N28" s="77">
        <v>203</v>
      </c>
    </row>
    <row r="29" spans="1:14">
      <c r="A29" s="77">
        <v>204</v>
      </c>
      <c r="D29" s="345"/>
      <c r="E29" s="646" t="s">
        <v>1653</v>
      </c>
      <c r="F29" s="454">
        <v>1482679601.8333712</v>
      </c>
      <c r="G29" s="79" t="s">
        <v>1654</v>
      </c>
      <c r="H29" s="643"/>
      <c r="I29" s="644"/>
      <c r="N29" s="77">
        <v>204</v>
      </c>
    </row>
    <row r="30" spans="1:14">
      <c r="A30" s="77">
        <v>205</v>
      </c>
      <c r="D30" s="342"/>
      <c r="E30" s="95" t="s">
        <v>1655</v>
      </c>
      <c r="F30" s="647">
        <v>951673018.70553875</v>
      </c>
      <c r="G30" s="79" t="s">
        <v>1656</v>
      </c>
      <c r="H30" s="642"/>
      <c r="I30" s="350"/>
      <c r="N30" s="77">
        <v>205</v>
      </c>
    </row>
    <row r="31" spans="1:14">
      <c r="A31" s="77">
        <v>206</v>
      </c>
      <c r="D31" s="692"/>
      <c r="E31" s="691" t="s">
        <v>1657</v>
      </c>
      <c r="F31" s="679">
        <v>1</v>
      </c>
      <c r="G31" s="689" t="s">
        <v>1658</v>
      </c>
      <c r="H31" s="695" t="s">
        <v>1588</v>
      </c>
      <c r="I31" s="649"/>
      <c r="N31" s="77">
        <v>206</v>
      </c>
    </row>
    <row r="32" spans="1:14">
      <c r="A32" s="77">
        <v>207</v>
      </c>
      <c r="D32" s="342"/>
      <c r="E32" s="95" t="s">
        <v>1659</v>
      </c>
      <c r="F32" s="647">
        <v>951673018.70553875</v>
      </c>
      <c r="G32" s="79" t="s">
        <v>2128</v>
      </c>
      <c r="H32" s="642"/>
      <c r="I32" s="350"/>
      <c r="J32" s="650"/>
      <c r="K32" s="449"/>
      <c r="N32" s="77">
        <v>207</v>
      </c>
    </row>
    <row r="33" spans="1:14">
      <c r="A33" s="77">
        <v>208</v>
      </c>
      <c r="D33" s="342"/>
      <c r="E33" s="95" t="s">
        <v>1660</v>
      </c>
      <c r="F33" s="31">
        <v>0.14690087374748809</v>
      </c>
      <c r="G33" s="648" t="s">
        <v>235</v>
      </c>
      <c r="H33" s="642"/>
      <c r="I33" s="649"/>
      <c r="N33" s="77">
        <v>208</v>
      </c>
    </row>
    <row r="34" spans="1:14">
      <c r="A34" s="77">
        <v>209</v>
      </c>
      <c r="D34" s="340"/>
      <c r="E34" s="651" t="s">
        <v>1661</v>
      </c>
      <c r="F34" s="652">
        <v>139801597.96975321</v>
      </c>
      <c r="G34" s="653" t="s">
        <v>2129</v>
      </c>
      <c r="H34" s="654"/>
      <c r="I34" s="350"/>
      <c r="N34" s="77">
        <v>209</v>
      </c>
    </row>
    <row r="35" spans="1:14">
      <c r="A35" s="77">
        <v>210</v>
      </c>
      <c r="D35" s="344" t="s">
        <v>1662</v>
      </c>
      <c r="E35" s="655"/>
      <c r="F35" s="656"/>
      <c r="G35" s="657"/>
      <c r="H35" s="658"/>
      <c r="I35" s="350"/>
      <c r="N35" s="77">
        <v>210</v>
      </c>
    </row>
    <row r="36" spans="1:14">
      <c r="A36" s="77">
        <v>211</v>
      </c>
      <c r="D36" s="692"/>
      <c r="E36" s="691" t="s">
        <v>1663</v>
      </c>
      <c r="F36" s="679">
        <v>0.21932528287670497</v>
      </c>
      <c r="G36" s="689" t="s">
        <v>1664</v>
      </c>
      <c r="H36" s="696" t="s">
        <v>1588</v>
      </c>
      <c r="I36" s="649"/>
      <c r="N36" s="77">
        <v>211</v>
      </c>
    </row>
    <row r="37" spans="1:14">
      <c r="A37" s="77">
        <v>212</v>
      </c>
      <c r="D37" s="342"/>
      <c r="E37" s="95" t="s">
        <v>1665</v>
      </c>
      <c r="F37" s="450">
        <v>21022355.130000003</v>
      </c>
      <c r="G37" s="79" t="s">
        <v>1666</v>
      </c>
      <c r="H37" s="643"/>
      <c r="I37" s="644"/>
      <c r="N37" s="77">
        <v>212</v>
      </c>
    </row>
    <row r="38" spans="1:14">
      <c r="A38" s="77">
        <v>213</v>
      </c>
      <c r="D38" s="340"/>
      <c r="E38" s="651" t="s">
        <v>1667</v>
      </c>
      <c r="F38" s="659">
        <v>4610733.9856218006</v>
      </c>
      <c r="G38" s="653" t="s">
        <v>1668</v>
      </c>
      <c r="H38" s="660"/>
      <c r="I38" s="644"/>
      <c r="N38" s="77">
        <v>213</v>
      </c>
    </row>
    <row r="39" spans="1:14">
      <c r="A39" s="77">
        <v>214</v>
      </c>
      <c r="D39" s="343" t="s">
        <v>1669</v>
      </c>
      <c r="E39" s="95"/>
      <c r="F39" s="661"/>
      <c r="G39" s="79"/>
      <c r="H39" s="643"/>
      <c r="I39" s="644"/>
      <c r="N39" s="77">
        <v>214</v>
      </c>
    </row>
    <row r="40" spans="1:14">
      <c r="A40" s="77">
        <v>215</v>
      </c>
      <c r="D40" s="342"/>
      <c r="E40" s="95" t="s">
        <v>1670</v>
      </c>
      <c r="F40" s="451">
        <v>1482679601.8333712</v>
      </c>
      <c r="G40" s="79" t="s">
        <v>1671</v>
      </c>
      <c r="H40" s="643"/>
      <c r="I40" s="644"/>
      <c r="N40" s="77">
        <v>215</v>
      </c>
    </row>
    <row r="41" spans="1:14">
      <c r="A41" s="77">
        <v>216</v>
      </c>
      <c r="D41" s="692"/>
      <c r="E41" s="691" t="s">
        <v>1672</v>
      </c>
      <c r="F41" s="679">
        <v>0.17587063739917486</v>
      </c>
      <c r="G41" s="689" t="s">
        <v>1673</v>
      </c>
      <c r="H41" s="696" t="s">
        <v>1588</v>
      </c>
      <c r="I41" s="649"/>
      <c r="N41" s="77">
        <v>216</v>
      </c>
    </row>
    <row r="42" spans="1:14">
      <c r="A42" s="77">
        <v>217</v>
      </c>
      <c r="D42" s="342"/>
      <c r="E42" s="651" t="s">
        <v>1674</v>
      </c>
      <c r="F42" s="659">
        <v>260759806.63318977</v>
      </c>
      <c r="G42" s="653" t="s">
        <v>1675</v>
      </c>
      <c r="H42" s="643"/>
      <c r="I42" s="644"/>
      <c r="N42" s="77">
        <v>217</v>
      </c>
    </row>
    <row r="43" spans="1:14">
      <c r="A43" s="77">
        <v>218</v>
      </c>
      <c r="D43" s="341"/>
      <c r="E43" s="655"/>
      <c r="F43" s="656"/>
      <c r="G43" s="657"/>
      <c r="H43" s="662"/>
      <c r="I43" s="644"/>
      <c r="N43" s="77">
        <v>218</v>
      </c>
    </row>
    <row r="44" spans="1:14">
      <c r="A44" s="77">
        <v>219</v>
      </c>
      <c r="D44" s="342"/>
      <c r="E44" s="95" t="s">
        <v>1676</v>
      </c>
      <c r="F44" s="451">
        <v>405172138.58856475</v>
      </c>
      <c r="G44" s="79" t="s">
        <v>1677</v>
      </c>
      <c r="H44" s="642"/>
      <c r="I44" s="350"/>
      <c r="N44" s="77">
        <v>219</v>
      </c>
    </row>
    <row r="45" spans="1:14">
      <c r="A45" s="77">
        <v>220</v>
      </c>
      <c r="D45" s="874" t="s">
        <v>1678</v>
      </c>
      <c r="E45" s="875"/>
      <c r="F45" s="663">
        <v>-4762248.8132449165</v>
      </c>
      <c r="G45" s="79" t="s">
        <v>1679</v>
      </c>
      <c r="H45" s="642"/>
      <c r="I45" s="350"/>
      <c r="N45" s="77">
        <v>220</v>
      </c>
    </row>
    <row r="46" spans="1:14">
      <c r="A46" s="77">
        <v>221</v>
      </c>
      <c r="D46" s="340"/>
      <c r="E46" s="651"/>
      <c r="F46" s="659">
        <v>400409889.77531981</v>
      </c>
      <c r="G46" s="653" t="s">
        <v>1680</v>
      </c>
      <c r="H46" s="654"/>
      <c r="I46" s="350"/>
      <c r="N46" s="77">
        <v>221</v>
      </c>
    </row>
    <row r="47" spans="1:14">
      <c r="A47" s="77"/>
      <c r="N47" s="77"/>
    </row>
    <row r="48" spans="1:14" s="17" customFormat="1">
      <c r="A48" s="133">
        <v>300</v>
      </c>
      <c r="C48" s="208" t="s">
        <v>1681</v>
      </c>
      <c r="I48" s="388"/>
      <c r="N48" s="77">
        <v>300</v>
      </c>
    </row>
    <row r="49" spans="1:15" s="17" customFormat="1">
      <c r="A49" s="133">
        <v>301</v>
      </c>
      <c r="E49" s="8" t="s">
        <v>443</v>
      </c>
      <c r="F49" s="675" t="s">
        <v>251</v>
      </c>
      <c r="G49" s="675" t="s">
        <v>287</v>
      </c>
      <c r="H49" s="675" t="s">
        <v>410</v>
      </c>
      <c r="I49" s="675" t="s">
        <v>411</v>
      </c>
      <c r="J49" s="675" t="s">
        <v>412</v>
      </c>
      <c r="K49" s="675" t="s">
        <v>413</v>
      </c>
      <c r="L49" s="675" t="s">
        <v>442</v>
      </c>
      <c r="M49" s="675" t="s">
        <v>457</v>
      </c>
      <c r="N49" s="77">
        <v>301</v>
      </c>
    </row>
    <row r="50" spans="1:15" s="17" customFormat="1" ht="43.5">
      <c r="A50" s="507">
        <v>302</v>
      </c>
      <c r="E50" s="508" t="s">
        <v>1682</v>
      </c>
      <c r="F50" s="676" t="s">
        <v>1683</v>
      </c>
      <c r="G50" s="676" t="s">
        <v>1684</v>
      </c>
      <c r="H50" s="676" t="s">
        <v>1685</v>
      </c>
      <c r="I50" s="676" t="s">
        <v>1686</v>
      </c>
      <c r="J50" s="676" t="s">
        <v>1687</v>
      </c>
      <c r="K50" s="676" t="s">
        <v>1688</v>
      </c>
      <c r="L50" s="676" t="s">
        <v>1689</v>
      </c>
      <c r="M50" s="676" t="s">
        <v>1690</v>
      </c>
      <c r="N50" s="77">
        <v>302</v>
      </c>
    </row>
    <row r="51" spans="1:15" s="17" customFormat="1">
      <c r="A51" s="133">
        <v>303</v>
      </c>
      <c r="C51" s="27">
        <v>920</v>
      </c>
      <c r="D51" s="17" t="s">
        <v>1595</v>
      </c>
      <c r="E51" s="426">
        <v>-27524754.39070797</v>
      </c>
      <c r="F51" s="445">
        <v>-11237175.324385999</v>
      </c>
      <c r="G51" s="445">
        <v>-14340152.010000002</v>
      </c>
      <c r="H51" s="445">
        <v>0</v>
      </c>
      <c r="I51" s="445">
        <v>0</v>
      </c>
      <c r="J51" s="445">
        <v>-1730786.8300000005</v>
      </c>
      <c r="K51" s="445">
        <v>-238133.06736253595</v>
      </c>
      <c r="L51" s="445">
        <v>21492.841040566404</v>
      </c>
      <c r="M51" s="415"/>
      <c r="N51" s="77">
        <v>303</v>
      </c>
      <c r="O51" s="510"/>
    </row>
    <row r="52" spans="1:15" s="17" customFormat="1">
      <c r="A52" s="133">
        <v>304</v>
      </c>
      <c r="C52" s="27">
        <v>921</v>
      </c>
      <c r="D52" s="17" t="s">
        <v>1599</v>
      </c>
      <c r="E52" s="426">
        <v>-5729864.3201102465</v>
      </c>
      <c r="F52" s="445">
        <v>0</v>
      </c>
      <c r="G52" s="445">
        <v>-619245.60000000009</v>
      </c>
      <c r="H52" s="445">
        <v>0</v>
      </c>
      <c r="I52" s="445">
        <v>-169062.2</v>
      </c>
      <c r="J52" s="445">
        <v>-4910779.6099999985</v>
      </c>
      <c r="K52" s="445">
        <v>-30776.910110248489</v>
      </c>
      <c r="L52" s="445">
        <v>0</v>
      </c>
      <c r="M52" s="415"/>
      <c r="N52" s="77">
        <v>304</v>
      </c>
      <c r="O52" s="510"/>
    </row>
    <row r="53" spans="1:15" s="17" customFormat="1">
      <c r="A53" s="133">
        <v>305</v>
      </c>
      <c r="C53" s="27">
        <v>922</v>
      </c>
      <c r="D53" s="17" t="s">
        <v>1603</v>
      </c>
      <c r="E53" s="426">
        <v>39864392.545218438</v>
      </c>
      <c r="F53" s="445">
        <v>0</v>
      </c>
      <c r="G53" s="445">
        <v>0</v>
      </c>
      <c r="H53" s="445">
        <v>0</v>
      </c>
      <c r="I53" s="445">
        <v>0</v>
      </c>
      <c r="J53" s="445">
        <v>39864392.545218438</v>
      </c>
      <c r="K53" s="445">
        <v>0</v>
      </c>
      <c r="L53" s="445">
        <v>0</v>
      </c>
      <c r="M53" s="415"/>
      <c r="N53" s="77">
        <v>305</v>
      </c>
      <c r="O53" s="510"/>
    </row>
    <row r="54" spans="1:15" s="17" customFormat="1">
      <c r="A54" s="133">
        <v>306</v>
      </c>
      <c r="C54" s="27">
        <v>923</v>
      </c>
      <c r="D54" s="17" t="s">
        <v>1607</v>
      </c>
      <c r="E54" s="426">
        <v>-79382893.979107514</v>
      </c>
      <c r="F54" s="445">
        <v>-1586255.673471</v>
      </c>
      <c r="G54" s="445">
        <v>-9002757.1409829166</v>
      </c>
      <c r="H54" s="445">
        <v>-188691.142269</v>
      </c>
      <c r="I54" s="445">
        <v>-50879215.848687999</v>
      </c>
      <c r="J54" s="445">
        <v>-17782861.440000009</v>
      </c>
      <c r="K54" s="445">
        <v>-21383.077584797647</v>
      </c>
      <c r="L54" s="445">
        <v>78270.343888210962</v>
      </c>
      <c r="M54" s="415"/>
      <c r="N54" s="77">
        <v>306</v>
      </c>
      <c r="O54" s="510"/>
    </row>
    <row r="55" spans="1:15" s="17" customFormat="1">
      <c r="A55" s="133">
        <v>307</v>
      </c>
      <c r="C55" s="27">
        <v>924</v>
      </c>
      <c r="D55" s="17" t="s">
        <v>1058</v>
      </c>
      <c r="E55" s="426">
        <v>4956686.1300000008</v>
      </c>
      <c r="F55" s="445">
        <v>0</v>
      </c>
      <c r="G55" s="445">
        <v>0</v>
      </c>
      <c r="H55" s="445">
        <v>0</v>
      </c>
      <c r="I55" s="445">
        <v>4956686.1300000008</v>
      </c>
      <c r="J55" s="445">
        <v>0</v>
      </c>
      <c r="K55" s="445">
        <v>0</v>
      </c>
      <c r="L55" s="445">
        <v>0</v>
      </c>
      <c r="M55" s="415"/>
      <c r="N55" s="77">
        <v>307</v>
      </c>
      <c r="O55" s="510"/>
    </row>
    <row r="56" spans="1:15" s="17" customFormat="1">
      <c r="A56" s="133">
        <v>308</v>
      </c>
      <c r="C56" s="27">
        <v>925</v>
      </c>
      <c r="D56" s="17" t="s">
        <v>1118</v>
      </c>
      <c r="E56" s="426">
        <v>-266326033.39072612</v>
      </c>
      <c r="F56" s="445">
        <v>0</v>
      </c>
      <c r="G56" s="445">
        <v>0</v>
      </c>
      <c r="H56" s="445">
        <v>14814801.17</v>
      </c>
      <c r="I56" s="445">
        <v>-367761742.65000004</v>
      </c>
      <c r="J56" s="445">
        <v>86620908.0892739</v>
      </c>
      <c r="K56" s="445">
        <v>0</v>
      </c>
      <c r="L56" s="445">
        <v>0</v>
      </c>
      <c r="M56" s="415"/>
      <c r="N56" s="77">
        <v>308</v>
      </c>
      <c r="O56" s="510"/>
    </row>
    <row r="57" spans="1:15" s="17" customFormat="1">
      <c r="A57" s="133">
        <v>309</v>
      </c>
      <c r="C57" s="27">
        <v>926</v>
      </c>
      <c r="D57" s="17" t="s">
        <v>1617</v>
      </c>
      <c r="E57" s="426">
        <v>-70562390.365655869</v>
      </c>
      <c r="F57" s="445">
        <v>0</v>
      </c>
      <c r="G57" s="445">
        <v>-5914247.1973230001</v>
      </c>
      <c r="H57" s="445">
        <v>385323.31289750693</v>
      </c>
      <c r="I57" s="445">
        <v>-1841803.25</v>
      </c>
      <c r="J57" s="445">
        <v>-62062350.496476367</v>
      </c>
      <c r="K57" s="445">
        <v>-887677.39974456478</v>
      </c>
      <c r="L57" s="445">
        <v>-241635.33500944014</v>
      </c>
      <c r="M57" s="415"/>
      <c r="N57" s="77">
        <v>309</v>
      </c>
      <c r="O57" s="510"/>
    </row>
    <row r="58" spans="1:15" s="17" customFormat="1">
      <c r="A58" s="133">
        <v>310</v>
      </c>
      <c r="C58" s="27">
        <v>927</v>
      </c>
      <c r="D58" s="17" t="s">
        <v>1621</v>
      </c>
      <c r="E58" s="426">
        <v>-101328358</v>
      </c>
      <c r="F58" s="445">
        <v>0</v>
      </c>
      <c r="G58" s="445">
        <v>0</v>
      </c>
      <c r="H58" s="445">
        <v>0</v>
      </c>
      <c r="I58" s="445">
        <v>-101328358</v>
      </c>
      <c r="J58" s="445">
        <v>0</v>
      </c>
      <c r="K58" s="445">
        <v>0</v>
      </c>
      <c r="L58" s="445">
        <v>0</v>
      </c>
      <c r="M58" s="415"/>
      <c r="N58" s="77">
        <v>310</v>
      </c>
      <c r="O58" s="510"/>
    </row>
    <row r="59" spans="1:15" s="17" customFormat="1">
      <c r="A59" s="133">
        <v>311</v>
      </c>
      <c r="C59" s="27">
        <v>928</v>
      </c>
      <c r="D59" s="17" t="s">
        <v>1625</v>
      </c>
      <c r="E59" s="426">
        <v>0</v>
      </c>
      <c r="F59" s="445">
        <v>0</v>
      </c>
      <c r="G59" s="445">
        <v>0</v>
      </c>
      <c r="H59" s="445">
        <v>0</v>
      </c>
      <c r="I59" s="445">
        <v>0</v>
      </c>
      <c r="J59" s="445">
        <v>0</v>
      </c>
      <c r="K59" s="445">
        <v>0</v>
      </c>
      <c r="L59" s="445">
        <v>0</v>
      </c>
      <c r="M59" s="677"/>
      <c r="N59" s="77">
        <v>311</v>
      </c>
      <c r="O59" s="510"/>
    </row>
    <row r="60" spans="1:15" s="17" customFormat="1">
      <c r="A60" s="133">
        <v>312</v>
      </c>
      <c r="C60" s="27">
        <v>929</v>
      </c>
      <c r="D60" s="17" t="s">
        <v>1628</v>
      </c>
      <c r="E60" s="426">
        <v>0</v>
      </c>
      <c r="F60" s="445">
        <v>0</v>
      </c>
      <c r="G60" s="445">
        <v>0</v>
      </c>
      <c r="H60" s="445">
        <v>0</v>
      </c>
      <c r="I60" s="445">
        <v>0</v>
      </c>
      <c r="J60" s="445">
        <v>0</v>
      </c>
      <c r="K60" s="445">
        <v>0</v>
      </c>
      <c r="L60" s="445">
        <v>0</v>
      </c>
      <c r="M60" s="677"/>
      <c r="N60" s="77">
        <v>312</v>
      </c>
      <c r="O60" s="510"/>
    </row>
    <row r="61" spans="1:15" s="17" customFormat="1">
      <c r="A61" s="133">
        <v>313</v>
      </c>
      <c r="C61" s="27">
        <v>930.1</v>
      </c>
      <c r="D61" s="17" t="s">
        <v>1631</v>
      </c>
      <c r="E61" s="426">
        <v>0</v>
      </c>
      <c r="F61" s="445">
        <v>0</v>
      </c>
      <c r="G61" s="445">
        <v>0</v>
      </c>
      <c r="H61" s="445">
        <v>0</v>
      </c>
      <c r="I61" s="445">
        <v>0</v>
      </c>
      <c r="J61" s="445">
        <v>0</v>
      </c>
      <c r="K61" s="445">
        <v>0</v>
      </c>
      <c r="L61" s="445">
        <v>0</v>
      </c>
      <c r="M61" s="50"/>
      <c r="N61" s="77">
        <v>313</v>
      </c>
      <c r="O61" s="510"/>
    </row>
    <row r="62" spans="1:15" s="17" customFormat="1">
      <c r="A62" s="133">
        <v>314</v>
      </c>
      <c r="C62" s="27">
        <v>930.2</v>
      </c>
      <c r="D62" s="17" t="s">
        <v>1635</v>
      </c>
      <c r="E62" s="426">
        <v>-11214746.560000252</v>
      </c>
      <c r="F62" s="445">
        <v>0</v>
      </c>
      <c r="G62" s="445">
        <v>0</v>
      </c>
      <c r="H62" s="445">
        <v>0</v>
      </c>
      <c r="I62" s="445">
        <v>-1985072.8500002516</v>
      </c>
      <c r="J62" s="445">
        <v>-9229673.7100000009</v>
      </c>
      <c r="K62" s="445">
        <v>0</v>
      </c>
      <c r="L62" s="445">
        <v>0</v>
      </c>
      <c r="M62" s="50"/>
      <c r="N62" s="77">
        <v>314</v>
      </c>
      <c r="O62" s="510"/>
    </row>
    <row r="63" spans="1:15" s="17" customFormat="1">
      <c r="A63" s="133">
        <v>315</v>
      </c>
      <c r="C63" s="27">
        <v>931</v>
      </c>
      <c r="D63" s="17" t="s">
        <v>1567</v>
      </c>
      <c r="E63" s="426">
        <v>0</v>
      </c>
      <c r="F63" s="445">
        <v>0</v>
      </c>
      <c r="G63" s="445">
        <v>0</v>
      </c>
      <c r="H63" s="445">
        <v>0</v>
      </c>
      <c r="I63" s="445">
        <v>0</v>
      </c>
      <c r="J63" s="445">
        <v>0</v>
      </c>
      <c r="K63" s="445">
        <v>0</v>
      </c>
      <c r="L63" s="445">
        <v>0</v>
      </c>
      <c r="M63" s="677"/>
      <c r="N63" s="77">
        <v>315</v>
      </c>
      <c r="O63" s="510"/>
    </row>
    <row r="64" spans="1:15" s="17" customFormat="1">
      <c r="A64" s="133">
        <v>316</v>
      </c>
      <c r="C64" s="27">
        <v>935</v>
      </c>
      <c r="D64" s="17" t="s">
        <v>1640</v>
      </c>
      <c r="E64" s="426">
        <v>0</v>
      </c>
      <c r="F64" s="445">
        <v>0</v>
      </c>
      <c r="G64" s="445">
        <v>0</v>
      </c>
      <c r="H64" s="445">
        <v>0</v>
      </c>
      <c r="I64" s="445">
        <v>0</v>
      </c>
      <c r="J64" s="445">
        <v>0</v>
      </c>
      <c r="K64" s="445">
        <v>0</v>
      </c>
      <c r="L64" s="445">
        <v>0</v>
      </c>
      <c r="M64" s="678"/>
      <c r="N64" s="77">
        <v>316</v>
      </c>
      <c r="O64" s="510"/>
    </row>
    <row r="65" spans="1:14" s="17" customFormat="1">
      <c r="A65" s="133">
        <v>317</v>
      </c>
      <c r="D65" s="144" t="s">
        <v>1691</v>
      </c>
      <c r="E65" s="511">
        <v>-517247962.33108956</v>
      </c>
      <c r="F65" s="511">
        <v>-12823430.997856999</v>
      </c>
      <c r="G65" s="511">
        <v>-29876401.94830592</v>
      </c>
      <c r="H65" s="511">
        <v>15011433.340628507</v>
      </c>
      <c r="I65" s="511">
        <v>-519008568.6686883</v>
      </c>
      <c r="J65" s="511">
        <v>30768848.54801596</v>
      </c>
      <c r="K65" s="511">
        <v>-1177970.4548021469</v>
      </c>
      <c r="L65" s="511">
        <v>-141872.15008066277</v>
      </c>
      <c r="M65" s="511">
        <v>0</v>
      </c>
      <c r="N65" s="77">
        <v>317</v>
      </c>
    </row>
    <row r="66" spans="1:14" s="17" customFormat="1">
      <c r="A66" s="133"/>
      <c r="E66" s="509"/>
      <c r="F66" s="509"/>
      <c r="G66" s="509"/>
      <c r="H66" s="509"/>
      <c r="I66" s="512"/>
      <c r="J66" s="509"/>
      <c r="K66" s="509"/>
      <c r="N66" s="133"/>
    </row>
    <row r="67" spans="1:14" s="17" customFormat="1">
      <c r="A67" s="133"/>
      <c r="I67" s="388"/>
      <c r="N67" s="133"/>
    </row>
    <row r="68" spans="1:14" s="17" customFormat="1">
      <c r="A68" s="133"/>
      <c r="C68" s="144" t="s">
        <v>306</v>
      </c>
      <c r="I68" s="388"/>
      <c r="N68" s="133"/>
    </row>
    <row r="69" spans="1:14">
      <c r="C69" s="339">
        <v>1</v>
      </c>
      <c r="D69" s="93" t="s">
        <v>1692</v>
      </c>
      <c r="E69" s="93"/>
      <c r="F69" s="785"/>
      <c r="G69" s="785"/>
      <c r="H69" s="785"/>
      <c r="I69" s="785"/>
      <c r="J69" s="785"/>
      <c r="K69" s="785"/>
      <c r="L69" s="93"/>
      <c r="M69" s="93"/>
      <c r="N69" s="93"/>
    </row>
    <row r="70" spans="1:14">
      <c r="C70" s="339">
        <v>2</v>
      </c>
      <c r="D70" s="93" t="s">
        <v>1693</v>
      </c>
      <c r="E70" s="785"/>
      <c r="F70" s="785"/>
      <c r="G70" s="785"/>
      <c r="H70" s="785"/>
      <c r="I70" s="785"/>
      <c r="J70" s="785"/>
      <c r="K70" s="785"/>
      <c r="L70" s="93"/>
      <c r="M70" s="93"/>
      <c r="N70" s="93"/>
    </row>
    <row r="71" spans="1:14" s="17" customFormat="1">
      <c r="A71" s="133"/>
      <c r="C71" s="133">
        <v>3</v>
      </c>
      <c r="D71" s="415" t="s">
        <v>1694</v>
      </c>
      <c r="E71" s="415"/>
      <c r="F71" s="415"/>
      <c r="G71" s="415"/>
      <c r="H71" s="415"/>
      <c r="I71" s="786"/>
      <c r="J71" s="415"/>
      <c r="K71" s="415"/>
      <c r="L71" s="415"/>
      <c r="M71" s="415"/>
      <c r="N71" s="787"/>
    </row>
    <row r="72" spans="1:14" s="17" customFormat="1">
      <c r="A72" s="133"/>
      <c r="C72" s="133">
        <v>4</v>
      </c>
      <c r="D72" s="415" t="s">
        <v>1695</v>
      </c>
      <c r="E72" s="415"/>
      <c r="F72" s="415"/>
      <c r="G72" s="415"/>
      <c r="H72" s="415"/>
      <c r="I72" s="786"/>
      <c r="J72" s="415"/>
      <c r="K72" s="415"/>
      <c r="L72" s="415"/>
      <c r="M72" s="415"/>
      <c r="N72" s="787"/>
    </row>
    <row r="73" spans="1:14" s="17" customFormat="1">
      <c r="A73" s="133"/>
      <c r="C73" s="8">
        <v>5</v>
      </c>
      <c r="D73" s="415" t="s">
        <v>1696</v>
      </c>
      <c r="E73" s="415"/>
      <c r="F73" s="415"/>
      <c r="G73" s="415"/>
      <c r="H73" s="415"/>
      <c r="I73" s="786"/>
      <c r="J73" s="415"/>
      <c r="K73" s="415"/>
      <c r="L73" s="415"/>
      <c r="M73" s="415"/>
      <c r="N73" s="787"/>
    </row>
    <row r="74" spans="1:14" s="17" customFormat="1">
      <c r="A74" s="133"/>
      <c r="C74" s="8">
        <v>6</v>
      </c>
      <c r="D74" s="415" t="s">
        <v>1697</v>
      </c>
      <c r="E74" s="415"/>
      <c r="F74" s="415"/>
      <c r="G74" s="415"/>
      <c r="H74" s="415"/>
      <c r="I74" s="786"/>
      <c r="J74" s="415"/>
      <c r="K74" s="415"/>
      <c r="L74" s="415"/>
      <c r="M74" s="415"/>
      <c r="N74" s="787"/>
    </row>
    <row r="75" spans="1:14" s="17" customFormat="1">
      <c r="A75" s="133"/>
      <c r="C75" s="8">
        <v>7</v>
      </c>
      <c r="D75" s="415" t="s">
        <v>1698</v>
      </c>
      <c r="E75" s="415"/>
      <c r="F75" s="415"/>
      <c r="G75" s="415"/>
      <c r="H75" s="415"/>
      <c r="I75" s="786"/>
      <c r="J75" s="415"/>
      <c r="K75" s="415"/>
      <c r="L75" s="415"/>
      <c r="M75" s="415"/>
      <c r="N75" s="787"/>
    </row>
    <row r="76" spans="1:14" s="17" customFormat="1">
      <c r="A76" s="133"/>
      <c r="C76" s="8">
        <v>8</v>
      </c>
      <c r="D76" s="415" t="s">
        <v>1699</v>
      </c>
      <c r="E76" s="415"/>
      <c r="F76" s="415"/>
      <c r="G76" s="415"/>
      <c r="H76" s="415"/>
      <c r="I76" s="786"/>
      <c r="J76" s="415"/>
      <c r="K76" s="415"/>
      <c r="L76" s="415"/>
      <c r="M76" s="415"/>
      <c r="N76" s="787"/>
    </row>
    <row r="77" spans="1:14" s="17" customFormat="1">
      <c r="A77" s="133"/>
      <c r="C77" s="8">
        <v>9</v>
      </c>
      <c r="D77" s="415" t="s">
        <v>1700</v>
      </c>
      <c r="E77" s="415"/>
      <c r="F77" s="415"/>
      <c r="G77" s="415"/>
      <c r="H77" s="415"/>
      <c r="I77" s="786"/>
      <c r="J77" s="415"/>
      <c r="K77" s="415"/>
      <c r="L77" s="415"/>
      <c r="M77" s="415"/>
      <c r="N77" s="787"/>
    </row>
    <row r="78" spans="1:14" s="17" customFormat="1">
      <c r="A78" s="133"/>
      <c r="C78" s="8">
        <v>10</v>
      </c>
      <c r="D78" s="415" t="s">
        <v>1701</v>
      </c>
      <c r="E78" s="415"/>
      <c r="F78" s="415"/>
      <c r="G78" s="415"/>
      <c r="H78" s="415"/>
      <c r="I78" s="786"/>
      <c r="J78" s="415"/>
      <c r="K78" s="415"/>
      <c r="L78" s="415"/>
      <c r="M78" s="415"/>
      <c r="N78" s="787"/>
    </row>
    <row r="79" spans="1:14" ht="15" customHeight="1">
      <c r="C79" s="133">
        <v>11</v>
      </c>
      <c r="D79" s="876" t="s">
        <v>1702</v>
      </c>
      <c r="E79" s="876"/>
      <c r="F79" s="876"/>
      <c r="G79" s="876"/>
      <c r="H79" s="876"/>
      <c r="I79" s="876"/>
      <c r="J79" s="876"/>
      <c r="K79" s="876"/>
      <c r="L79" s="876"/>
      <c r="M79" s="876"/>
      <c r="N79" s="93"/>
    </row>
    <row r="80" spans="1:14" ht="63" customHeight="1">
      <c r="D80" s="876"/>
      <c r="E80" s="876"/>
      <c r="F80" s="876"/>
      <c r="G80" s="876"/>
      <c r="H80" s="876"/>
      <c r="I80" s="876"/>
      <c r="J80" s="876"/>
      <c r="K80" s="876"/>
      <c r="L80" s="876"/>
      <c r="M80" s="876"/>
      <c r="N80" s="93"/>
    </row>
    <row r="81" spans="3:14">
      <c r="C81" s="8">
        <v>12</v>
      </c>
      <c r="D81" s="876" t="s">
        <v>1703</v>
      </c>
      <c r="E81" s="876"/>
      <c r="F81" s="876"/>
      <c r="G81" s="876"/>
      <c r="H81" s="876"/>
      <c r="I81" s="876"/>
      <c r="J81" s="876"/>
      <c r="K81" s="876"/>
      <c r="L81" s="876"/>
      <c r="M81" s="876"/>
      <c r="N81" s="876"/>
    </row>
    <row r="82" spans="3:14">
      <c r="C82" s="133"/>
      <c r="D82" s="876"/>
      <c r="E82" s="876"/>
      <c r="F82" s="876"/>
      <c r="G82" s="876"/>
      <c r="H82" s="876"/>
      <c r="I82" s="876"/>
      <c r="J82" s="876"/>
      <c r="K82" s="876"/>
      <c r="L82" s="876"/>
      <c r="M82" s="876"/>
      <c r="N82" s="876"/>
    </row>
    <row r="83" spans="3:14">
      <c r="C83" s="8"/>
      <c r="D83" s="17"/>
    </row>
    <row r="84" spans="3:14">
      <c r="C84" s="8"/>
      <c r="D84" s="17"/>
    </row>
    <row r="85" spans="3:14">
      <c r="C85" s="8"/>
      <c r="D85" s="17"/>
    </row>
    <row r="86" spans="3:14">
      <c r="C86" s="8"/>
      <c r="D86" s="17"/>
    </row>
    <row r="87" spans="3:14">
      <c r="C87" s="8"/>
      <c r="D87" s="17"/>
    </row>
    <row r="88" spans="3:14">
      <c r="C88" s="8"/>
      <c r="D88" s="17"/>
    </row>
    <row r="89" spans="3:14">
      <c r="C89" s="8"/>
      <c r="D89" s="17"/>
    </row>
    <row r="144" spans="11:11">
      <c r="K144" s="70" t="e">
        <f>E30/E144*E151</f>
        <v>#VALUE!</v>
      </c>
    </row>
    <row r="160" spans="10:10">
      <c r="J160" s="70">
        <f>E160-D160</f>
        <v>0</v>
      </c>
    </row>
  </sheetData>
  <mergeCells count="3">
    <mergeCell ref="D45:E45"/>
    <mergeCell ref="D79:M80"/>
    <mergeCell ref="D81:N82"/>
  </mergeCells>
  <printOptions horizontalCentered="1"/>
  <pageMargins left="1" right="1" top="1" bottom="1" header="0.5" footer="0.5"/>
  <pageSetup scale="41"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K160"/>
  <sheetViews>
    <sheetView tabSelected="1" view="pageBreakPreview" topLeftCell="A17" zoomScale="70" zoomScaleNormal="80" zoomScaleSheetLayoutView="70" zoomScalePageLayoutView="70" workbookViewId="0">
      <selection activeCell="E174" sqref="E174"/>
    </sheetView>
  </sheetViews>
  <sheetFormatPr defaultColWidth="9.1796875" defaultRowHeight="14.5"/>
  <cols>
    <col min="1" max="1" width="4.7265625" bestFit="1" customWidth="1"/>
    <col min="2" max="2" width="10.453125" bestFit="1" customWidth="1"/>
    <col min="3" max="3" width="10.7265625" customWidth="1"/>
    <col min="4" max="4" width="65.453125" bestFit="1" customWidth="1"/>
    <col min="5" max="5" width="19.1796875" bestFit="1" customWidth="1"/>
    <col min="6" max="6" width="16.453125" bestFit="1" customWidth="1"/>
    <col min="7" max="7" width="15.7265625" bestFit="1" customWidth="1"/>
    <col min="8" max="8" width="16.81640625" bestFit="1" customWidth="1"/>
    <col min="9" max="9" width="17.26953125" bestFit="1" customWidth="1"/>
    <col min="10" max="10" width="13.453125" customWidth="1"/>
    <col min="11" max="11" width="25.1796875" customWidth="1"/>
  </cols>
  <sheetData>
    <row r="1" spans="1:11">
      <c r="B1" s="12" t="s">
        <v>55</v>
      </c>
      <c r="I1" s="15"/>
      <c r="J1" s="15" t="str">
        <f>CONCATENATE("Prior Year: ",'1-BaseTRR'!$G$2)</f>
        <v>Prior Year: 2021</v>
      </c>
    </row>
    <row r="2" spans="1:11">
      <c r="B2" s="119" t="s">
        <v>131</v>
      </c>
      <c r="C2" s="50"/>
      <c r="I2" s="15"/>
      <c r="J2" s="15"/>
    </row>
    <row r="3" spans="1:11">
      <c r="A3" s="12"/>
      <c r="B3" s="144"/>
      <c r="J3" s="15"/>
      <c r="K3" s="12"/>
    </row>
    <row r="4" spans="1:11">
      <c r="B4" s="16" t="s">
        <v>350</v>
      </c>
      <c r="D4" s="318"/>
    </row>
    <row r="5" spans="1:11">
      <c r="B5" t="s">
        <v>1704</v>
      </c>
    </row>
    <row r="7" spans="1:11">
      <c r="B7" s="13" t="s">
        <v>371</v>
      </c>
      <c r="C7" s="13" t="s">
        <v>372</v>
      </c>
      <c r="D7" s="13" t="s">
        <v>373</v>
      </c>
      <c r="E7" s="13" t="s">
        <v>374</v>
      </c>
      <c r="F7" s="13" t="s">
        <v>375</v>
      </c>
      <c r="G7" s="13" t="s">
        <v>376</v>
      </c>
      <c r="H7" s="13" t="s">
        <v>377</v>
      </c>
      <c r="I7" s="13" t="s">
        <v>378</v>
      </c>
      <c r="J7" s="13" t="s">
        <v>409</v>
      </c>
    </row>
    <row r="8" spans="1:11">
      <c r="B8" s="8"/>
      <c r="C8" s="8"/>
      <c r="D8" s="8"/>
      <c r="E8" s="8"/>
      <c r="F8" s="8"/>
      <c r="G8" s="8"/>
      <c r="H8" s="8" t="s">
        <v>1705</v>
      </c>
      <c r="I8" s="8"/>
      <c r="J8" s="8"/>
    </row>
    <row r="9" spans="1:11" ht="29">
      <c r="A9" s="13" t="s">
        <v>100</v>
      </c>
      <c r="B9" s="13" t="s">
        <v>1706</v>
      </c>
      <c r="C9" s="169" t="s">
        <v>1707</v>
      </c>
      <c r="D9" s="13" t="s">
        <v>1708</v>
      </c>
      <c r="E9" s="13" t="s">
        <v>1709</v>
      </c>
      <c r="F9" s="169" t="s">
        <v>1710</v>
      </c>
      <c r="G9" s="169" t="s">
        <v>1711</v>
      </c>
      <c r="H9" s="169" t="s">
        <v>1712</v>
      </c>
      <c r="I9" s="169" t="s">
        <v>1713</v>
      </c>
      <c r="J9" s="169" t="s">
        <v>136</v>
      </c>
      <c r="K9" s="13" t="str">
        <f>A9</f>
        <v>Line</v>
      </c>
    </row>
    <row r="10" spans="1:11" ht="43.5">
      <c r="A10" s="8">
        <v>100</v>
      </c>
      <c r="D10" s="15" t="s">
        <v>780</v>
      </c>
      <c r="E10" s="354">
        <f>E14+E20+E30+E36+E44</f>
        <v>-99305801.980000079</v>
      </c>
      <c r="F10" s="354">
        <f>F14+F20+F30+F36+F44</f>
        <v>7454398</v>
      </c>
      <c r="G10" s="354">
        <f t="shared" ref="G10:I10" si="0">G14+G20+G30+G36+G44</f>
        <v>3776940</v>
      </c>
      <c r="H10" s="354">
        <f t="shared" si="0"/>
        <v>11231338</v>
      </c>
      <c r="I10" s="354">
        <f t="shared" si="0"/>
        <v>59783018.879999995</v>
      </c>
      <c r="J10" s="45" t="s">
        <v>1714</v>
      </c>
      <c r="K10" s="13">
        <f>A10</f>
        <v>100</v>
      </c>
    </row>
    <row r="11" spans="1:11">
      <c r="A11" s="13"/>
      <c r="E11" s="15"/>
      <c r="F11" s="25"/>
      <c r="G11" s="25"/>
      <c r="H11" s="25"/>
      <c r="I11" s="25"/>
      <c r="J11" s="169"/>
      <c r="K11" s="13"/>
    </row>
    <row r="12" spans="1:11">
      <c r="A12" s="13"/>
      <c r="B12" s="53" t="s">
        <v>1715</v>
      </c>
      <c r="C12" s="355"/>
      <c r="D12" s="355"/>
      <c r="E12" s="355"/>
      <c r="F12" s="55"/>
      <c r="G12" s="55"/>
      <c r="H12" s="55"/>
      <c r="I12" s="55"/>
      <c r="J12" s="55"/>
    </row>
    <row r="13" spans="1:11">
      <c r="A13" s="8">
        <v>200</v>
      </c>
      <c r="B13" s="30"/>
      <c r="D13" s="15" t="s">
        <v>1716</v>
      </c>
      <c r="E13" s="499">
        <v>-296</v>
      </c>
      <c r="F13" s="334"/>
      <c r="G13" s="334"/>
      <c r="H13" s="334"/>
      <c r="I13" s="334"/>
      <c r="J13" s="334"/>
      <c r="K13" s="8">
        <f>A13</f>
        <v>200</v>
      </c>
    </row>
    <row r="14" spans="1:11">
      <c r="A14" s="8">
        <f>A13+1</f>
        <v>201</v>
      </c>
      <c r="B14" s="30"/>
      <c r="D14" s="15" t="s">
        <v>1717</v>
      </c>
      <c r="E14" s="354">
        <f>SUM(E15:E17)</f>
        <v>-296</v>
      </c>
      <c r="F14" s="354">
        <f>SUM(F15:F17)</f>
        <v>0</v>
      </c>
      <c r="G14" s="354">
        <f>SUM(G15:G17)</f>
        <v>0</v>
      </c>
      <c r="H14" s="354">
        <f>SUM(F14:G14)</f>
        <v>0</v>
      </c>
      <c r="I14" s="354">
        <f>SUM(I15:I17)</f>
        <v>0</v>
      </c>
      <c r="J14" s="334"/>
      <c r="K14" s="8">
        <f>A14</f>
        <v>201</v>
      </c>
    </row>
    <row r="15" spans="1:11">
      <c r="A15" s="8">
        <f>A14+1</f>
        <v>202</v>
      </c>
      <c r="B15" s="30">
        <v>450</v>
      </c>
      <c r="C15">
        <v>4500000</v>
      </c>
      <c r="D15" t="s">
        <v>1715</v>
      </c>
      <c r="E15" s="353">
        <v>-296</v>
      </c>
      <c r="F15" s="353"/>
      <c r="G15" s="353"/>
      <c r="H15" s="33">
        <f>SUM(F15:G15)</f>
        <v>0</v>
      </c>
      <c r="I15" s="353"/>
      <c r="J15" s="334" t="s">
        <v>203</v>
      </c>
      <c r="K15" s="8">
        <f>A15</f>
        <v>202</v>
      </c>
    </row>
    <row r="16" spans="1:11">
      <c r="A16" s="8">
        <f>A15+1</f>
        <v>203</v>
      </c>
      <c r="B16" s="57"/>
      <c r="C16" s="50"/>
      <c r="D16" s="50"/>
      <c r="E16" s="353"/>
      <c r="F16" s="353"/>
      <c r="G16" s="353"/>
      <c r="H16" s="33">
        <f>SUM(F16:G16)</f>
        <v>0</v>
      </c>
      <c r="I16" s="353"/>
      <c r="J16" s="334"/>
      <c r="K16" s="8">
        <f>A16</f>
        <v>203</v>
      </c>
    </row>
    <row r="17" spans="1:11">
      <c r="A17" s="8">
        <f>A16+1</f>
        <v>204</v>
      </c>
      <c r="B17" s="352" t="s">
        <v>634</v>
      </c>
      <c r="C17" s="50"/>
      <c r="D17" s="50"/>
      <c r="E17" s="353"/>
      <c r="F17" s="353"/>
      <c r="G17" s="353"/>
      <c r="H17" s="33">
        <f>SUM(F17:G17)</f>
        <v>0</v>
      </c>
      <c r="I17" s="353"/>
      <c r="J17" s="334"/>
      <c r="K17" s="8">
        <f>A17</f>
        <v>204</v>
      </c>
    </row>
    <row r="18" spans="1:11">
      <c r="A18" s="8"/>
      <c r="B18" s="58" t="s">
        <v>1718</v>
      </c>
      <c r="C18" s="55"/>
      <c r="D18" s="55"/>
      <c r="E18" s="55"/>
      <c r="F18" s="55"/>
      <c r="G18" s="55"/>
      <c r="H18" s="55"/>
      <c r="I18" s="55"/>
      <c r="J18" s="55"/>
      <c r="K18" s="8"/>
    </row>
    <row r="19" spans="1:11">
      <c r="A19" s="8">
        <v>300</v>
      </c>
      <c r="B19" s="30"/>
      <c r="D19" s="15" t="s">
        <v>1719</v>
      </c>
      <c r="E19" s="499">
        <v>8281661</v>
      </c>
      <c r="F19" s="354"/>
      <c r="G19" s="354"/>
      <c r="H19" s="354"/>
      <c r="I19" s="33"/>
      <c r="J19" s="334"/>
      <c r="K19" s="8">
        <f t="shared" ref="K19:K27" si="1">A19</f>
        <v>300</v>
      </c>
    </row>
    <row r="20" spans="1:11">
      <c r="A20" s="8">
        <f t="shared" ref="A20:A27" si="2">A19+1</f>
        <v>301</v>
      </c>
      <c r="B20" s="30"/>
      <c r="D20" s="15" t="s">
        <v>1720</v>
      </c>
      <c r="E20" s="354">
        <f>SUM(E21:E27)</f>
        <v>8281661.3200000003</v>
      </c>
      <c r="F20" s="354">
        <f>SUM(F21:F27)</f>
        <v>0</v>
      </c>
      <c r="G20" s="354">
        <f>SUM(G21:G27)</f>
        <v>0</v>
      </c>
      <c r="H20" s="354">
        <f t="shared" ref="H20:H27" si="3">SUM(F20:G20)</f>
        <v>0</v>
      </c>
      <c r="I20" s="354">
        <f>SUM(I21:I27)</f>
        <v>710278</v>
      </c>
      <c r="J20" s="334"/>
      <c r="K20" s="8">
        <f t="shared" si="1"/>
        <v>301</v>
      </c>
    </row>
    <row r="21" spans="1:11">
      <c r="A21" s="8">
        <f t="shared" si="2"/>
        <v>302</v>
      </c>
      <c r="B21" s="30">
        <v>451</v>
      </c>
      <c r="C21">
        <v>4510000</v>
      </c>
      <c r="D21" t="s">
        <v>1718</v>
      </c>
      <c r="E21" s="353">
        <v>1188235.4099999999</v>
      </c>
      <c r="F21" s="353"/>
      <c r="G21" s="353"/>
      <c r="H21" s="33">
        <f t="shared" si="3"/>
        <v>0</v>
      </c>
      <c r="I21" s="353"/>
      <c r="J21" s="334" t="s">
        <v>203</v>
      </c>
      <c r="K21" s="8">
        <f t="shared" si="1"/>
        <v>302</v>
      </c>
    </row>
    <row r="22" spans="1:11">
      <c r="A22" s="8">
        <f t="shared" si="2"/>
        <v>303</v>
      </c>
      <c r="B22" s="30">
        <v>451</v>
      </c>
      <c r="C22">
        <v>4510007</v>
      </c>
      <c r="D22" t="s">
        <v>1721</v>
      </c>
      <c r="E22" s="353">
        <v>899954.36</v>
      </c>
      <c r="F22" s="353"/>
      <c r="G22" s="353"/>
      <c r="H22" s="33">
        <f t="shared" si="3"/>
        <v>0</v>
      </c>
      <c r="I22" s="353">
        <v>710278</v>
      </c>
      <c r="J22" s="334" t="s">
        <v>203</v>
      </c>
      <c r="K22" s="8">
        <f t="shared" si="1"/>
        <v>303</v>
      </c>
    </row>
    <row r="23" spans="1:11">
      <c r="A23" s="8">
        <f t="shared" si="2"/>
        <v>304</v>
      </c>
      <c r="B23" s="30">
        <v>451</v>
      </c>
      <c r="C23">
        <v>4510040</v>
      </c>
      <c r="D23" t="s">
        <v>1722</v>
      </c>
      <c r="E23" s="353">
        <v>4274474.96</v>
      </c>
      <c r="F23" s="353"/>
      <c r="G23" s="353"/>
      <c r="H23" s="33">
        <f t="shared" si="3"/>
        <v>0</v>
      </c>
      <c r="I23" s="353"/>
      <c r="J23" s="334" t="s">
        <v>203</v>
      </c>
      <c r="K23" s="8">
        <f t="shared" si="1"/>
        <v>304</v>
      </c>
    </row>
    <row r="24" spans="1:11">
      <c r="A24" s="8">
        <f t="shared" si="2"/>
        <v>305</v>
      </c>
      <c r="B24" s="30">
        <v>451</v>
      </c>
      <c r="C24">
        <v>4510041</v>
      </c>
      <c r="D24" t="s">
        <v>1723</v>
      </c>
      <c r="E24" s="353">
        <v>1105295.1100000001</v>
      </c>
      <c r="F24" s="353"/>
      <c r="G24" s="353"/>
      <c r="H24" s="33">
        <f t="shared" si="3"/>
        <v>0</v>
      </c>
      <c r="I24" s="353"/>
      <c r="J24" s="334" t="s">
        <v>203</v>
      </c>
      <c r="K24" s="8">
        <f t="shared" si="1"/>
        <v>305</v>
      </c>
    </row>
    <row r="25" spans="1:11">
      <c r="A25" s="8">
        <f t="shared" si="2"/>
        <v>306</v>
      </c>
      <c r="B25" s="30">
        <v>451</v>
      </c>
      <c r="C25">
        <v>4510043</v>
      </c>
      <c r="D25" t="s">
        <v>1724</v>
      </c>
      <c r="E25" s="353">
        <v>813701.48</v>
      </c>
      <c r="F25" s="353"/>
      <c r="G25" s="353"/>
      <c r="H25" s="33">
        <f t="shared" si="3"/>
        <v>0</v>
      </c>
      <c r="I25" s="353"/>
      <c r="J25" s="334" t="s">
        <v>203</v>
      </c>
      <c r="K25" s="8">
        <f t="shared" si="1"/>
        <v>306</v>
      </c>
    </row>
    <row r="26" spans="1:11">
      <c r="A26" s="8">
        <f t="shared" si="2"/>
        <v>307</v>
      </c>
      <c r="B26" s="57"/>
      <c r="C26" s="50"/>
      <c r="D26" s="50"/>
      <c r="E26" s="353">
        <v>0</v>
      </c>
      <c r="F26" s="353"/>
      <c r="G26" s="353"/>
      <c r="H26" s="33">
        <f t="shared" si="3"/>
        <v>0</v>
      </c>
      <c r="I26" s="353"/>
      <c r="J26" s="334"/>
      <c r="K26" s="8">
        <f t="shared" si="1"/>
        <v>307</v>
      </c>
    </row>
    <row r="27" spans="1:11">
      <c r="A27" s="8">
        <f t="shared" si="2"/>
        <v>308</v>
      </c>
      <c r="B27" s="352" t="s">
        <v>634</v>
      </c>
      <c r="C27" s="50"/>
      <c r="D27" s="50"/>
      <c r="E27" s="353"/>
      <c r="F27" s="353"/>
      <c r="G27" s="353"/>
      <c r="H27" s="33">
        <f t="shared" si="3"/>
        <v>0</v>
      </c>
      <c r="I27" s="353"/>
      <c r="J27" s="334"/>
      <c r="K27" s="8">
        <f t="shared" si="1"/>
        <v>308</v>
      </c>
    </row>
    <row r="28" spans="1:11">
      <c r="A28" s="8"/>
      <c r="B28" s="58" t="s">
        <v>1725</v>
      </c>
      <c r="C28" s="55"/>
      <c r="D28" s="55"/>
      <c r="E28" s="55"/>
      <c r="F28" s="55"/>
      <c r="G28" s="55"/>
      <c r="H28" s="55"/>
      <c r="I28" s="55"/>
      <c r="J28" s="55"/>
      <c r="K28" s="8"/>
    </row>
    <row r="29" spans="1:11">
      <c r="A29" s="8">
        <v>400</v>
      </c>
      <c r="B29" s="30"/>
      <c r="D29" s="15" t="s">
        <v>1726</v>
      </c>
      <c r="E29" s="499">
        <v>3191997</v>
      </c>
      <c r="F29" s="354"/>
      <c r="G29" s="354"/>
      <c r="H29" s="354"/>
      <c r="I29" s="33"/>
      <c r="J29" s="334"/>
      <c r="K29" s="8">
        <f>A29</f>
        <v>400</v>
      </c>
    </row>
    <row r="30" spans="1:11">
      <c r="A30" s="8">
        <f>A29+1</f>
        <v>401</v>
      </c>
      <c r="B30" s="30"/>
      <c r="D30" s="15" t="s">
        <v>1727</v>
      </c>
      <c r="E30" s="354">
        <f>SUM(E31:E33)</f>
        <v>3191997</v>
      </c>
      <c r="F30" s="354">
        <f>SUM(F31:F33)</f>
        <v>0</v>
      </c>
      <c r="G30" s="354">
        <f>SUM(G31:G33)</f>
        <v>0</v>
      </c>
      <c r="H30" s="354">
        <f>SUM(F30:G30)</f>
        <v>0</v>
      </c>
      <c r="I30" s="354">
        <f>SUM(I31:I33)</f>
        <v>0</v>
      </c>
      <c r="J30" s="334"/>
      <c r="K30" s="8">
        <f>A30</f>
        <v>401</v>
      </c>
    </row>
    <row r="31" spans="1:11">
      <c r="A31" s="8">
        <f>A30+1</f>
        <v>402</v>
      </c>
      <c r="B31" s="30">
        <v>453</v>
      </c>
      <c r="C31">
        <v>4530000</v>
      </c>
      <c r="D31" t="s">
        <v>1725</v>
      </c>
      <c r="E31" s="353">
        <v>3191997</v>
      </c>
      <c r="F31" s="353"/>
      <c r="G31" s="353"/>
      <c r="H31" s="33">
        <f>SUM(F31:G31)</f>
        <v>0</v>
      </c>
      <c r="I31" s="353"/>
      <c r="J31" s="334" t="s">
        <v>203</v>
      </c>
      <c r="K31" s="8">
        <f>A31</f>
        <v>402</v>
      </c>
    </row>
    <row r="32" spans="1:11">
      <c r="A32" s="8">
        <f>A31+1</f>
        <v>403</v>
      </c>
      <c r="B32" s="57"/>
      <c r="C32" s="50"/>
      <c r="D32" s="50"/>
      <c r="E32" s="353"/>
      <c r="F32" s="353"/>
      <c r="G32" s="353"/>
      <c r="H32" s="33">
        <f>SUM(F32:G32)</f>
        <v>0</v>
      </c>
      <c r="I32" s="353"/>
      <c r="J32" s="334"/>
      <c r="K32" s="8">
        <f>A32</f>
        <v>403</v>
      </c>
    </row>
    <row r="33" spans="1:11">
      <c r="A33" s="8">
        <f>A32+1</f>
        <v>404</v>
      </c>
      <c r="B33" s="352" t="s">
        <v>1728</v>
      </c>
      <c r="C33" s="50"/>
      <c r="D33" s="50"/>
      <c r="E33" s="353"/>
      <c r="F33" s="353"/>
      <c r="G33" s="353"/>
      <c r="H33" s="33">
        <f>SUM(F33:G33)</f>
        <v>0</v>
      </c>
      <c r="I33" s="353"/>
      <c r="J33" s="334"/>
      <c r="K33" s="8">
        <f>A33</f>
        <v>404</v>
      </c>
    </row>
    <row r="34" spans="1:11">
      <c r="A34" s="8"/>
      <c r="B34" s="58" t="s">
        <v>1567</v>
      </c>
      <c r="C34" s="55"/>
      <c r="D34" s="55"/>
      <c r="E34" s="55"/>
      <c r="F34" s="55"/>
      <c r="G34" s="55"/>
      <c r="H34" s="55"/>
      <c r="I34" s="55"/>
      <c r="J34" s="55"/>
      <c r="K34" s="8"/>
    </row>
    <row r="35" spans="1:11">
      <c r="A35" s="8">
        <v>500</v>
      </c>
      <c r="B35" s="30"/>
      <c r="D35" s="15" t="s">
        <v>1729</v>
      </c>
      <c r="E35" s="499">
        <v>68263578</v>
      </c>
      <c r="F35" s="354"/>
      <c r="G35" s="354"/>
      <c r="H35" s="354"/>
      <c r="I35" s="33"/>
      <c r="J35" s="334"/>
      <c r="K35" s="8">
        <f t="shared" ref="K35:K41" si="4">A35</f>
        <v>500</v>
      </c>
    </row>
    <row r="36" spans="1:11">
      <c r="A36" s="8">
        <f t="shared" ref="A36:A41" si="5">A35+1</f>
        <v>501</v>
      </c>
      <c r="B36" s="30"/>
      <c r="D36" s="15" t="s">
        <v>1730</v>
      </c>
      <c r="E36" s="354">
        <f>SUM(E37:E41)</f>
        <v>68263578</v>
      </c>
      <c r="F36" s="354">
        <f>SUM(F37:F41)</f>
        <v>2499792</v>
      </c>
      <c r="G36" s="354">
        <f>SUM(G37:G41)</f>
        <v>2797033</v>
      </c>
      <c r="H36" s="354">
        <f t="shared" ref="H36:H41" si="6">SUM(F36:G36)</f>
        <v>5296825</v>
      </c>
      <c r="I36" s="354">
        <f>SUM(I37:I41)</f>
        <v>16697902.620000001</v>
      </c>
      <c r="J36" s="334"/>
      <c r="K36" s="8">
        <f t="shared" si="4"/>
        <v>501</v>
      </c>
    </row>
    <row r="37" spans="1:11">
      <c r="A37" s="8">
        <f t="shared" si="5"/>
        <v>502</v>
      </c>
      <c r="B37" s="30">
        <v>454</v>
      </c>
      <c r="C37">
        <v>4540010</v>
      </c>
      <c r="D37" s="17" t="s">
        <v>1731</v>
      </c>
      <c r="E37" s="353">
        <v>43701376</v>
      </c>
      <c r="F37" s="811">
        <v>2499792</v>
      </c>
      <c r="G37" s="811">
        <v>2797033</v>
      </c>
      <c r="H37" s="33">
        <f t="shared" si="6"/>
        <v>5296825</v>
      </c>
      <c r="I37" s="353"/>
      <c r="J37" s="334" t="s">
        <v>1732</v>
      </c>
      <c r="K37" s="8">
        <f t="shared" si="4"/>
        <v>502</v>
      </c>
    </row>
    <row r="38" spans="1:11">
      <c r="A38" s="8">
        <f t="shared" si="5"/>
        <v>503</v>
      </c>
      <c r="B38" s="30">
        <v>454</v>
      </c>
      <c r="C38">
        <v>4540012</v>
      </c>
      <c r="D38" t="s">
        <v>1733</v>
      </c>
      <c r="E38" s="353">
        <v>20169782</v>
      </c>
      <c r="F38" s="353"/>
      <c r="G38" s="353"/>
      <c r="H38" s="33">
        <f t="shared" si="6"/>
        <v>0</v>
      </c>
      <c r="I38" s="353">
        <v>13325974.49</v>
      </c>
      <c r="J38" s="334" t="s">
        <v>203</v>
      </c>
      <c r="K38" s="8">
        <f t="shared" si="4"/>
        <v>503</v>
      </c>
    </row>
    <row r="39" spans="1:11">
      <c r="A39" s="8">
        <f t="shared" si="5"/>
        <v>504</v>
      </c>
      <c r="B39" s="30">
        <v>454</v>
      </c>
      <c r="C39">
        <v>4540013</v>
      </c>
      <c r="D39" t="s">
        <v>1734</v>
      </c>
      <c r="E39" s="353">
        <v>4392420</v>
      </c>
      <c r="F39" s="353"/>
      <c r="G39" s="353"/>
      <c r="H39" s="33">
        <f t="shared" si="6"/>
        <v>0</v>
      </c>
      <c r="I39" s="353">
        <v>3371928.13</v>
      </c>
      <c r="J39" s="334" t="s">
        <v>203</v>
      </c>
      <c r="K39" s="8">
        <f t="shared" si="4"/>
        <v>504</v>
      </c>
    </row>
    <row r="40" spans="1:11">
      <c r="A40" s="8">
        <f t="shared" si="5"/>
        <v>505</v>
      </c>
      <c r="B40" s="57"/>
      <c r="C40" s="50"/>
      <c r="D40" s="50"/>
      <c r="E40" s="353"/>
      <c r="F40" s="353"/>
      <c r="G40" s="353"/>
      <c r="H40" s="33">
        <f t="shared" si="6"/>
        <v>0</v>
      </c>
      <c r="I40" s="353"/>
      <c r="J40" s="334"/>
      <c r="K40" s="8">
        <f t="shared" si="4"/>
        <v>505</v>
      </c>
    </row>
    <row r="41" spans="1:11">
      <c r="A41" s="8">
        <f t="shared" si="5"/>
        <v>506</v>
      </c>
      <c r="B41" s="352" t="s">
        <v>1728</v>
      </c>
      <c r="C41" s="50"/>
      <c r="D41" s="50"/>
      <c r="E41" s="353"/>
      <c r="F41" s="353"/>
      <c r="G41" s="353"/>
      <c r="H41" s="33">
        <f t="shared" si="6"/>
        <v>0</v>
      </c>
      <c r="I41" s="353"/>
      <c r="J41" s="334"/>
      <c r="K41" s="8">
        <f t="shared" si="4"/>
        <v>506</v>
      </c>
    </row>
    <row r="42" spans="1:11">
      <c r="A42" s="8"/>
      <c r="B42" s="58" t="s">
        <v>1735</v>
      </c>
      <c r="C42" s="55"/>
      <c r="D42" s="55"/>
      <c r="E42" s="55"/>
      <c r="F42" s="55"/>
      <c r="G42" s="55"/>
      <c r="H42" s="55"/>
      <c r="I42" s="55"/>
      <c r="J42" s="55"/>
      <c r="K42" s="8"/>
    </row>
    <row r="43" spans="1:11">
      <c r="A43" s="8">
        <v>600</v>
      </c>
      <c r="B43" s="30"/>
      <c r="D43" s="15" t="s">
        <v>1736</v>
      </c>
      <c r="E43" s="499">
        <v>-179042742</v>
      </c>
      <c r="F43" s="354"/>
      <c r="G43" s="354"/>
      <c r="H43" s="354"/>
      <c r="I43" s="33"/>
      <c r="J43" s="17" t="s">
        <v>111</v>
      </c>
      <c r="K43" s="8">
        <f t="shared" ref="K43:K63" si="7">A43</f>
        <v>600</v>
      </c>
    </row>
    <row r="44" spans="1:11">
      <c r="A44" s="8">
        <f t="shared" ref="A44:A63" si="8">A43+1</f>
        <v>601</v>
      </c>
      <c r="B44" s="30"/>
      <c r="D44" s="15" t="s">
        <v>1737</v>
      </c>
      <c r="E44" s="354">
        <f>SUM(E45:E63)</f>
        <v>-179042742.30000007</v>
      </c>
      <c r="F44" s="354">
        <f>SUM(F45:F63)</f>
        <v>4954606</v>
      </c>
      <c r="G44" s="354">
        <f>SUM(G45:G63)</f>
        <v>979907</v>
      </c>
      <c r="H44" s="354">
        <f t="shared" ref="H44:H54" si="9">SUM(F44:G44)</f>
        <v>5934513</v>
      </c>
      <c r="I44" s="354">
        <f>SUM(I45:I63)</f>
        <v>42374838.259999998</v>
      </c>
      <c r="J44" s="334"/>
      <c r="K44" s="8">
        <f t="shared" si="7"/>
        <v>601</v>
      </c>
    </row>
    <row r="45" spans="1:11">
      <c r="A45" s="8">
        <f t="shared" si="8"/>
        <v>602</v>
      </c>
      <c r="B45" s="30">
        <v>456</v>
      </c>
      <c r="C45">
        <v>4560099</v>
      </c>
      <c r="D45" t="s">
        <v>1738</v>
      </c>
      <c r="E45" s="353">
        <v>85614954.869999975</v>
      </c>
      <c r="F45" s="353"/>
      <c r="G45" s="353"/>
      <c r="H45" s="33">
        <f t="shared" si="9"/>
        <v>0</v>
      </c>
      <c r="I45" s="353"/>
      <c r="J45" s="334" t="s">
        <v>203</v>
      </c>
      <c r="K45" s="8">
        <f t="shared" si="7"/>
        <v>602</v>
      </c>
    </row>
    <row r="46" spans="1:11">
      <c r="A46" s="8">
        <f t="shared" si="8"/>
        <v>603</v>
      </c>
      <c r="B46" s="30">
        <v>456</v>
      </c>
      <c r="D46" t="s">
        <v>1739</v>
      </c>
      <c r="E46" s="353">
        <v>624405</v>
      </c>
      <c r="F46" s="353"/>
      <c r="G46" s="353"/>
      <c r="H46" s="33">
        <f t="shared" si="9"/>
        <v>0</v>
      </c>
      <c r="I46" s="353"/>
      <c r="J46" s="334" t="s">
        <v>203</v>
      </c>
      <c r="K46" s="8">
        <f t="shared" si="7"/>
        <v>603</v>
      </c>
    </row>
    <row r="47" spans="1:11">
      <c r="A47" s="8">
        <f t="shared" si="8"/>
        <v>604</v>
      </c>
      <c r="B47" s="30">
        <v>456</v>
      </c>
      <c r="C47">
        <v>4560050</v>
      </c>
      <c r="D47" t="s">
        <v>1740</v>
      </c>
      <c r="E47" s="353">
        <v>728872.17</v>
      </c>
      <c r="F47" s="353"/>
      <c r="G47" s="353"/>
      <c r="H47" s="33">
        <f t="shared" si="9"/>
        <v>0</v>
      </c>
      <c r="I47" s="353"/>
      <c r="J47" s="334" t="s">
        <v>203</v>
      </c>
      <c r="K47" s="8">
        <f t="shared" si="7"/>
        <v>604</v>
      </c>
    </row>
    <row r="48" spans="1:11">
      <c r="A48" s="8">
        <f t="shared" si="8"/>
        <v>605</v>
      </c>
      <c r="B48" s="30">
        <v>456</v>
      </c>
      <c r="C48">
        <v>4560070</v>
      </c>
      <c r="D48" t="s">
        <v>1741</v>
      </c>
      <c r="E48" s="353">
        <v>0</v>
      </c>
      <c r="F48" s="353"/>
      <c r="G48" s="353"/>
      <c r="H48" s="33">
        <f t="shared" si="9"/>
        <v>0</v>
      </c>
      <c r="I48" s="353"/>
      <c r="J48" s="334" t="s">
        <v>203</v>
      </c>
      <c r="K48" s="8">
        <f t="shared" si="7"/>
        <v>605</v>
      </c>
    </row>
    <row r="49" spans="1:11">
      <c r="A49" s="8">
        <f t="shared" si="8"/>
        <v>606</v>
      </c>
      <c r="B49" s="30">
        <v>456</v>
      </c>
      <c r="C49">
        <v>4560014</v>
      </c>
      <c r="D49" t="s">
        <v>1742</v>
      </c>
      <c r="E49" s="353">
        <v>71187.259999999995</v>
      </c>
      <c r="F49" s="353"/>
      <c r="G49" s="353"/>
      <c r="H49" s="33">
        <f t="shared" si="9"/>
        <v>0</v>
      </c>
      <c r="I49" s="353"/>
      <c r="J49" s="334" t="s">
        <v>203</v>
      </c>
      <c r="K49" s="8">
        <f t="shared" si="7"/>
        <v>606</v>
      </c>
    </row>
    <row r="50" spans="1:11">
      <c r="A50" s="8">
        <f t="shared" si="8"/>
        <v>607</v>
      </c>
      <c r="B50" s="30">
        <v>456</v>
      </c>
      <c r="C50">
        <v>4560022</v>
      </c>
      <c r="D50" t="s">
        <v>1743</v>
      </c>
      <c r="E50" s="353">
        <v>2867317.7300000004</v>
      </c>
      <c r="F50" s="353"/>
      <c r="G50" s="353"/>
      <c r="H50" s="33">
        <f t="shared" si="9"/>
        <v>0</v>
      </c>
      <c r="I50" s="353"/>
      <c r="J50" s="334" t="s">
        <v>203</v>
      </c>
      <c r="K50" s="8">
        <f t="shared" si="7"/>
        <v>607</v>
      </c>
    </row>
    <row r="51" spans="1:11">
      <c r="A51" s="8">
        <f t="shared" si="8"/>
        <v>608</v>
      </c>
      <c r="B51" s="30">
        <v>456</v>
      </c>
      <c r="C51">
        <v>4560093</v>
      </c>
      <c r="D51" t="s">
        <v>1744</v>
      </c>
      <c r="E51" s="353">
        <v>4937.76</v>
      </c>
      <c r="F51" s="353"/>
      <c r="G51" s="353"/>
      <c r="H51" s="33">
        <f t="shared" si="9"/>
        <v>0</v>
      </c>
      <c r="I51" s="353"/>
      <c r="J51" s="334" t="s">
        <v>203</v>
      </c>
      <c r="K51" s="8">
        <f t="shared" si="7"/>
        <v>608</v>
      </c>
    </row>
    <row r="52" spans="1:11">
      <c r="A52" s="8">
        <f t="shared" si="8"/>
        <v>609</v>
      </c>
      <c r="B52" s="30">
        <v>456</v>
      </c>
      <c r="C52">
        <v>4560091</v>
      </c>
      <c r="D52" t="s">
        <v>1745</v>
      </c>
      <c r="E52" s="353">
        <v>48106710.039999999</v>
      </c>
      <c r="F52" s="353"/>
      <c r="G52" s="353"/>
      <c r="H52" s="33">
        <f t="shared" si="9"/>
        <v>0</v>
      </c>
      <c r="I52" s="353"/>
      <c r="J52" s="334" t="s">
        <v>203</v>
      </c>
      <c r="K52" s="8">
        <f t="shared" si="7"/>
        <v>609</v>
      </c>
    </row>
    <row r="53" spans="1:11">
      <c r="A53" s="8">
        <f t="shared" si="8"/>
        <v>610</v>
      </c>
      <c r="B53" s="30">
        <v>456</v>
      </c>
      <c r="C53">
        <v>4560098</v>
      </c>
      <c r="D53" t="s">
        <v>1746</v>
      </c>
      <c r="E53" s="353">
        <v>77058758.680000007</v>
      </c>
      <c r="F53" s="353"/>
      <c r="G53" s="353"/>
      <c r="H53" s="33">
        <f t="shared" si="9"/>
        <v>0</v>
      </c>
      <c r="I53" s="353">
        <v>13022623.26</v>
      </c>
      <c r="J53" s="334" t="s">
        <v>203</v>
      </c>
      <c r="K53" s="8">
        <f t="shared" si="7"/>
        <v>610</v>
      </c>
    </row>
    <row r="54" spans="1:11">
      <c r="A54" s="8">
        <f t="shared" si="8"/>
        <v>611</v>
      </c>
      <c r="B54" s="30">
        <v>456</v>
      </c>
      <c r="C54">
        <v>4560000</v>
      </c>
      <c r="D54" t="s">
        <v>1747</v>
      </c>
      <c r="E54" s="353">
        <v>35213382</v>
      </c>
      <c r="F54" s="353"/>
      <c r="G54" s="353"/>
      <c r="H54" s="33">
        <f t="shared" si="9"/>
        <v>0</v>
      </c>
      <c r="I54" s="353"/>
      <c r="J54" s="334" t="s">
        <v>203</v>
      </c>
      <c r="K54" s="8">
        <f t="shared" si="7"/>
        <v>611</v>
      </c>
    </row>
    <row r="55" spans="1:11">
      <c r="A55" s="8">
        <f t="shared" si="8"/>
        <v>612</v>
      </c>
      <c r="B55" s="30">
        <v>456</v>
      </c>
      <c r="C55">
        <v>4560001</v>
      </c>
      <c r="D55" t="s">
        <v>1748</v>
      </c>
      <c r="E55" s="353">
        <v>43991133.649999991</v>
      </c>
      <c r="F55" s="353">
        <v>534295</v>
      </c>
      <c r="G55" s="353">
        <v>979907</v>
      </c>
      <c r="H55" s="33">
        <f t="shared" ref="H55:H61" si="10">SUM(F55:G55)</f>
        <v>1514202</v>
      </c>
      <c r="I55" s="353">
        <v>12</v>
      </c>
      <c r="J55" s="334" t="s">
        <v>1749</v>
      </c>
      <c r="K55" s="8">
        <f t="shared" si="7"/>
        <v>612</v>
      </c>
    </row>
    <row r="56" spans="1:11">
      <c r="A56" s="8">
        <f t="shared" si="8"/>
        <v>613</v>
      </c>
      <c r="B56" s="30">
        <v>456</v>
      </c>
      <c r="C56">
        <v>4560002</v>
      </c>
      <c r="D56" t="s">
        <v>1750</v>
      </c>
      <c r="E56" s="353">
        <v>-1254</v>
      </c>
      <c r="F56" s="353"/>
      <c r="G56" s="353"/>
      <c r="H56" s="33">
        <f t="shared" si="10"/>
        <v>0</v>
      </c>
      <c r="I56" s="353"/>
      <c r="J56" s="334" t="s">
        <v>203</v>
      </c>
      <c r="K56" s="8">
        <f t="shared" si="7"/>
        <v>613</v>
      </c>
    </row>
    <row r="57" spans="1:11">
      <c r="A57" s="8">
        <f t="shared" si="8"/>
        <v>614</v>
      </c>
      <c r="B57" s="30">
        <v>456</v>
      </c>
      <c r="C57">
        <v>4560003</v>
      </c>
      <c r="D57" t="s">
        <v>1751</v>
      </c>
      <c r="E57" s="353">
        <v>14702254.24</v>
      </c>
      <c r="F57" s="353"/>
      <c r="G57" s="353"/>
      <c r="H57" s="33">
        <f t="shared" si="10"/>
        <v>0</v>
      </c>
      <c r="I57" s="353"/>
      <c r="J57" s="334" t="s">
        <v>203</v>
      </c>
      <c r="K57" s="8">
        <f t="shared" si="7"/>
        <v>614</v>
      </c>
    </row>
    <row r="58" spans="1:11">
      <c r="A58" s="8">
        <f t="shared" si="8"/>
        <v>615</v>
      </c>
      <c r="B58" s="30">
        <v>456</v>
      </c>
      <c r="C58">
        <v>4560095</v>
      </c>
      <c r="D58" t="s">
        <v>1752</v>
      </c>
      <c r="E58" s="353">
        <v>-422472356.57999998</v>
      </c>
      <c r="F58" s="353"/>
      <c r="G58" s="353"/>
      <c r="H58" s="33">
        <f t="shared" si="10"/>
        <v>0</v>
      </c>
      <c r="I58" s="353"/>
      <c r="J58" s="334" t="s">
        <v>203</v>
      </c>
      <c r="K58" s="8">
        <f t="shared" si="7"/>
        <v>615</v>
      </c>
    </row>
    <row r="59" spans="1:11">
      <c r="A59" s="8">
        <f t="shared" si="8"/>
        <v>616</v>
      </c>
      <c r="B59" s="30">
        <v>456</v>
      </c>
      <c r="C59">
        <v>4560005</v>
      </c>
      <c r="D59" t="s">
        <v>1753</v>
      </c>
      <c r="E59" s="353">
        <v>-102089590.55</v>
      </c>
      <c r="F59" s="353"/>
      <c r="G59" s="353"/>
      <c r="H59" s="33">
        <f t="shared" si="10"/>
        <v>0</v>
      </c>
      <c r="I59" s="353"/>
      <c r="J59" s="334" t="s">
        <v>203</v>
      </c>
      <c r="K59" s="8">
        <f t="shared" si="7"/>
        <v>616</v>
      </c>
    </row>
    <row r="60" spans="1:11">
      <c r="A60" s="8">
        <f t="shared" si="8"/>
        <v>617</v>
      </c>
      <c r="B60" s="30">
        <v>456</v>
      </c>
      <c r="C60">
        <v>9414000</v>
      </c>
      <c r="D60" t="s">
        <v>1754</v>
      </c>
      <c r="E60" s="353">
        <v>0</v>
      </c>
      <c r="F60" s="353"/>
      <c r="G60" s="353"/>
      <c r="H60" s="33">
        <f t="shared" si="10"/>
        <v>0</v>
      </c>
      <c r="I60" s="353"/>
      <c r="J60" s="334" t="s">
        <v>203</v>
      </c>
      <c r="K60" s="8">
        <f t="shared" si="7"/>
        <v>617</v>
      </c>
    </row>
    <row r="61" spans="1:11">
      <c r="A61" s="8">
        <f t="shared" si="8"/>
        <v>618</v>
      </c>
      <c r="B61" s="30">
        <v>456.1</v>
      </c>
      <c r="C61">
        <v>4561000</v>
      </c>
      <c r="D61" t="s">
        <v>1755</v>
      </c>
      <c r="E61" s="353">
        <v>4420311.08</v>
      </c>
      <c r="F61" s="353">
        <v>4420311</v>
      </c>
      <c r="G61" s="353"/>
      <c r="H61" s="33">
        <f t="shared" si="10"/>
        <v>4420311</v>
      </c>
      <c r="I61" s="353"/>
      <c r="J61" s="334" t="s">
        <v>1756</v>
      </c>
      <c r="K61" s="8">
        <f t="shared" si="7"/>
        <v>618</v>
      </c>
    </row>
    <row r="62" spans="1:11">
      <c r="A62" s="8">
        <f t="shared" si="8"/>
        <v>619</v>
      </c>
      <c r="B62" s="57">
        <v>456</v>
      </c>
      <c r="C62" s="50">
        <v>4560052</v>
      </c>
      <c r="D62" s="50" t="s">
        <v>1738</v>
      </c>
      <c r="E62" s="353">
        <v>32116234.349999934</v>
      </c>
      <c r="F62" s="353"/>
      <c r="G62" s="353"/>
      <c r="H62" s="33"/>
      <c r="I62" s="353">
        <v>29352203</v>
      </c>
      <c r="J62" s="334"/>
      <c r="K62" s="8">
        <f t="shared" si="7"/>
        <v>619</v>
      </c>
    </row>
    <row r="63" spans="1:11">
      <c r="A63" s="8">
        <f t="shared" si="8"/>
        <v>620</v>
      </c>
      <c r="B63" s="352" t="s">
        <v>1728</v>
      </c>
      <c r="C63" s="50"/>
      <c r="D63" s="50"/>
      <c r="E63" s="353"/>
      <c r="F63" s="353"/>
      <c r="G63" s="353"/>
      <c r="H63" s="33"/>
      <c r="I63" s="353"/>
      <c r="J63" s="334"/>
      <c r="K63" s="8">
        <f t="shared" si="7"/>
        <v>620</v>
      </c>
    </row>
    <row r="65" spans="1:11">
      <c r="A65" s="8"/>
      <c r="B65" s="16" t="s">
        <v>306</v>
      </c>
      <c r="E65" s="334"/>
      <c r="K65" s="8"/>
    </row>
    <row r="66" spans="1:11">
      <c r="A66" s="8"/>
      <c r="B66" t="s">
        <v>1757</v>
      </c>
      <c r="K66" s="8"/>
    </row>
    <row r="67" spans="1:11">
      <c r="A67" s="8"/>
      <c r="B67" t="s">
        <v>1758</v>
      </c>
      <c r="K67" s="8"/>
    </row>
    <row r="68" spans="1:11">
      <c r="B68" t="s">
        <v>1759</v>
      </c>
    </row>
    <row r="69" spans="1:11">
      <c r="B69" t="s">
        <v>1760</v>
      </c>
    </row>
    <row r="70" spans="1:11">
      <c r="B70" t="s">
        <v>1761</v>
      </c>
    </row>
    <row r="144" spans="11:11">
      <c r="K144" t="e">
        <f>E30/E144*E151</f>
        <v>#DIV/0!</v>
      </c>
    </row>
    <row r="160" spans="10:10">
      <c r="J160">
        <f>E160-D160</f>
        <v>0</v>
      </c>
    </row>
  </sheetData>
  <printOptions horizontalCentered="1"/>
  <pageMargins left="1" right="1" top="1" bottom="1" header="0.5" footer="0.5"/>
  <pageSetup scale="53"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35868-5D3F-4F38-88D6-75D207719650}">
  <sheetPr>
    <tabColor rgb="FFC00000"/>
    <pageSetUpPr fitToPage="1"/>
  </sheetPr>
  <dimension ref="A1:K160"/>
  <sheetViews>
    <sheetView tabSelected="1" view="pageBreakPreview" topLeftCell="A23" zoomScale="70" zoomScaleNormal="80" zoomScaleSheetLayoutView="70" zoomScalePageLayoutView="70" workbookViewId="0">
      <selection activeCell="E174" sqref="E174"/>
    </sheetView>
  </sheetViews>
  <sheetFormatPr defaultColWidth="9.1796875" defaultRowHeight="14.5"/>
  <cols>
    <col min="1" max="1" width="4.7265625" bestFit="1" customWidth="1"/>
    <col min="2" max="2" width="10.453125" bestFit="1" customWidth="1"/>
    <col min="3" max="3" width="10.7265625" customWidth="1"/>
    <col min="4" max="4" width="65.453125" bestFit="1" customWidth="1"/>
    <col min="5" max="5" width="19.1796875" bestFit="1" customWidth="1"/>
    <col min="6" max="6" width="16.453125" bestFit="1" customWidth="1"/>
    <col min="7" max="7" width="15.7265625" bestFit="1" customWidth="1"/>
    <col min="8" max="8" width="16.81640625" bestFit="1" customWidth="1"/>
    <col min="9" max="9" width="17.26953125" bestFit="1" customWidth="1"/>
    <col min="10" max="10" width="13.453125" customWidth="1"/>
    <col min="11" max="11" width="25.1796875" customWidth="1"/>
  </cols>
  <sheetData>
    <row r="1" spans="1:11">
      <c r="B1" s="12" t="s">
        <v>55</v>
      </c>
      <c r="I1" s="15"/>
      <c r="J1" s="15" t="s">
        <v>2055</v>
      </c>
    </row>
    <row r="2" spans="1:11">
      <c r="B2" s="119" t="s">
        <v>131</v>
      </c>
      <c r="C2" s="50"/>
      <c r="I2" s="15"/>
      <c r="J2" s="15"/>
    </row>
    <row r="3" spans="1:11">
      <c r="A3" s="12"/>
      <c r="B3" s="144"/>
      <c r="J3" s="15"/>
      <c r="K3" s="12"/>
    </row>
    <row r="4" spans="1:11">
      <c r="B4" s="16" t="s">
        <v>350</v>
      </c>
      <c r="D4" s="318"/>
    </row>
    <row r="5" spans="1:11">
      <c r="B5" t="s">
        <v>1704</v>
      </c>
    </row>
    <row r="7" spans="1:11">
      <c r="B7" s="13" t="s">
        <v>371</v>
      </c>
      <c r="C7" s="13" t="s">
        <v>372</v>
      </c>
      <c r="D7" s="13" t="s">
        <v>373</v>
      </c>
      <c r="E7" s="13" t="s">
        <v>374</v>
      </c>
      <c r="F7" s="13" t="s">
        <v>375</v>
      </c>
      <c r="G7" s="13" t="s">
        <v>376</v>
      </c>
      <c r="H7" s="13" t="s">
        <v>377</v>
      </c>
      <c r="I7" s="13" t="s">
        <v>378</v>
      </c>
      <c r="J7" s="13" t="s">
        <v>409</v>
      </c>
    </row>
    <row r="8" spans="1:11">
      <c r="B8" s="8"/>
      <c r="C8" s="8"/>
      <c r="D8" s="8"/>
      <c r="E8" s="8"/>
      <c r="F8" s="8"/>
      <c r="G8" s="8"/>
      <c r="H8" s="8" t="s">
        <v>1705</v>
      </c>
      <c r="I8" s="8"/>
      <c r="J8" s="8"/>
    </row>
    <row r="9" spans="1:11" ht="29">
      <c r="A9" s="13" t="s">
        <v>100</v>
      </c>
      <c r="B9" s="13" t="s">
        <v>1706</v>
      </c>
      <c r="C9" s="169" t="s">
        <v>1707</v>
      </c>
      <c r="D9" s="13" t="s">
        <v>1708</v>
      </c>
      <c r="E9" s="13" t="s">
        <v>1709</v>
      </c>
      <c r="F9" s="169" t="s">
        <v>1710</v>
      </c>
      <c r="G9" s="169" t="s">
        <v>1711</v>
      </c>
      <c r="H9" s="169" t="s">
        <v>1712</v>
      </c>
      <c r="I9" s="169" t="s">
        <v>1713</v>
      </c>
      <c r="J9" s="169" t="s">
        <v>136</v>
      </c>
      <c r="K9" s="13" t="s">
        <v>100</v>
      </c>
    </row>
    <row r="10" spans="1:11" ht="43.5">
      <c r="A10" s="8">
        <v>100</v>
      </c>
      <c r="D10" s="15" t="s">
        <v>780</v>
      </c>
      <c r="E10" s="354">
        <v>-99305801.980000079</v>
      </c>
      <c r="F10" s="354">
        <v>9023571</v>
      </c>
      <c r="G10" s="354">
        <v>8441204</v>
      </c>
      <c r="H10" s="354">
        <v>17464775</v>
      </c>
      <c r="I10" s="354">
        <v>59783018.879999995</v>
      </c>
      <c r="J10" s="45" t="s">
        <v>1714</v>
      </c>
      <c r="K10" s="13">
        <v>100</v>
      </c>
    </row>
    <row r="11" spans="1:11">
      <c r="A11" s="13"/>
      <c r="E11" s="15"/>
      <c r="F11" s="25"/>
      <c r="G11" s="25"/>
      <c r="H11" s="25"/>
      <c r="I11" s="25"/>
      <c r="J11" s="169"/>
      <c r="K11" s="13"/>
    </row>
    <row r="12" spans="1:11">
      <c r="A12" s="13"/>
      <c r="B12" s="53" t="s">
        <v>1715</v>
      </c>
      <c r="C12" s="355"/>
      <c r="D12" s="355"/>
      <c r="E12" s="355"/>
      <c r="F12" s="55"/>
      <c r="G12" s="55"/>
      <c r="H12" s="55"/>
      <c r="I12" s="55"/>
      <c r="J12" s="55"/>
    </row>
    <row r="13" spans="1:11">
      <c r="A13" s="8">
        <v>200</v>
      </c>
      <c r="B13" s="30"/>
      <c r="D13" s="15" t="s">
        <v>1716</v>
      </c>
      <c r="E13" s="499">
        <v>-296</v>
      </c>
      <c r="F13" s="334"/>
      <c r="G13" s="334"/>
      <c r="H13" s="334"/>
      <c r="I13" s="334"/>
      <c r="J13" s="334"/>
      <c r="K13" s="8">
        <v>200</v>
      </c>
    </row>
    <row r="14" spans="1:11">
      <c r="A14" s="8">
        <v>201</v>
      </c>
      <c r="B14" s="30"/>
      <c r="D14" s="15" t="s">
        <v>1717</v>
      </c>
      <c r="E14" s="354">
        <v>-296</v>
      </c>
      <c r="F14" s="354">
        <v>0</v>
      </c>
      <c r="G14" s="354">
        <v>0</v>
      </c>
      <c r="H14" s="354">
        <v>0</v>
      </c>
      <c r="I14" s="354">
        <v>0</v>
      </c>
      <c r="J14" s="334"/>
      <c r="K14" s="8">
        <v>201</v>
      </c>
    </row>
    <row r="15" spans="1:11">
      <c r="A15" s="8">
        <v>202</v>
      </c>
      <c r="B15" s="30">
        <v>450</v>
      </c>
      <c r="C15">
        <v>4500000</v>
      </c>
      <c r="D15" t="s">
        <v>1715</v>
      </c>
      <c r="E15" s="353">
        <v>-296</v>
      </c>
      <c r="F15" s="353"/>
      <c r="G15" s="353"/>
      <c r="H15" s="33">
        <v>0</v>
      </c>
      <c r="I15" s="353"/>
      <c r="J15" s="334" t="s">
        <v>203</v>
      </c>
      <c r="K15" s="8">
        <v>202</v>
      </c>
    </row>
    <row r="16" spans="1:11">
      <c r="A16" s="8">
        <v>203</v>
      </c>
      <c r="B16" s="57"/>
      <c r="C16" s="50"/>
      <c r="D16" s="50"/>
      <c r="E16" s="353"/>
      <c r="F16" s="353"/>
      <c r="G16" s="353"/>
      <c r="H16" s="33">
        <v>0</v>
      </c>
      <c r="I16" s="353"/>
      <c r="J16" s="334"/>
      <c r="K16" s="8">
        <v>203</v>
      </c>
    </row>
    <row r="17" spans="1:11">
      <c r="A17" s="8">
        <v>204</v>
      </c>
      <c r="B17" s="352" t="s">
        <v>634</v>
      </c>
      <c r="C17" s="50"/>
      <c r="D17" s="50"/>
      <c r="E17" s="353"/>
      <c r="F17" s="353"/>
      <c r="G17" s="353"/>
      <c r="H17" s="33">
        <v>0</v>
      </c>
      <c r="I17" s="353"/>
      <c r="J17" s="334"/>
      <c r="K17" s="8">
        <v>204</v>
      </c>
    </row>
    <row r="18" spans="1:11">
      <c r="A18" s="8"/>
      <c r="B18" s="58" t="s">
        <v>1718</v>
      </c>
      <c r="C18" s="55"/>
      <c r="D18" s="55"/>
      <c r="E18" s="55"/>
      <c r="F18" s="55"/>
      <c r="G18" s="55"/>
      <c r="H18" s="55"/>
      <c r="I18" s="55"/>
      <c r="J18" s="55"/>
      <c r="K18" s="8"/>
    </row>
    <row r="19" spans="1:11">
      <c r="A19" s="8">
        <v>300</v>
      </c>
      <c r="B19" s="30"/>
      <c r="D19" s="15" t="s">
        <v>1719</v>
      </c>
      <c r="E19" s="499">
        <v>8281661</v>
      </c>
      <c r="F19" s="354"/>
      <c r="G19" s="354"/>
      <c r="H19" s="354"/>
      <c r="I19" s="33"/>
      <c r="J19" s="334"/>
      <c r="K19" s="8">
        <v>300</v>
      </c>
    </row>
    <row r="20" spans="1:11">
      <c r="A20" s="8">
        <v>301</v>
      </c>
      <c r="B20" s="30"/>
      <c r="D20" s="15" t="s">
        <v>1720</v>
      </c>
      <c r="E20" s="354">
        <v>8281661.3200000003</v>
      </c>
      <c r="F20" s="354">
        <v>0</v>
      </c>
      <c r="G20" s="354">
        <v>0</v>
      </c>
      <c r="H20" s="354">
        <v>0</v>
      </c>
      <c r="I20" s="354">
        <v>710278</v>
      </c>
      <c r="J20" s="334"/>
      <c r="K20" s="8">
        <v>301</v>
      </c>
    </row>
    <row r="21" spans="1:11">
      <c r="A21" s="8">
        <v>302</v>
      </c>
      <c r="B21" s="30">
        <v>451</v>
      </c>
      <c r="C21">
        <v>4510000</v>
      </c>
      <c r="D21" t="s">
        <v>1718</v>
      </c>
      <c r="E21" s="353">
        <v>1188235.4099999999</v>
      </c>
      <c r="F21" s="353"/>
      <c r="G21" s="353"/>
      <c r="H21" s="33">
        <v>0</v>
      </c>
      <c r="I21" s="353"/>
      <c r="J21" s="334" t="s">
        <v>203</v>
      </c>
      <c r="K21" s="8">
        <v>302</v>
      </c>
    </row>
    <row r="22" spans="1:11">
      <c r="A22" s="8">
        <v>303</v>
      </c>
      <c r="B22" s="30">
        <v>451</v>
      </c>
      <c r="C22">
        <v>4510007</v>
      </c>
      <c r="D22" t="s">
        <v>1721</v>
      </c>
      <c r="E22" s="353">
        <v>899954.36</v>
      </c>
      <c r="F22" s="353"/>
      <c r="G22" s="353"/>
      <c r="H22" s="33">
        <v>0</v>
      </c>
      <c r="I22" s="353">
        <v>710278</v>
      </c>
      <c r="J22" s="334" t="s">
        <v>203</v>
      </c>
      <c r="K22" s="8">
        <v>303</v>
      </c>
    </row>
    <row r="23" spans="1:11">
      <c r="A23" s="8">
        <v>304</v>
      </c>
      <c r="B23" s="30">
        <v>451</v>
      </c>
      <c r="C23">
        <v>4510040</v>
      </c>
      <c r="D23" t="s">
        <v>1722</v>
      </c>
      <c r="E23" s="353">
        <v>4274474.96</v>
      </c>
      <c r="F23" s="353"/>
      <c r="G23" s="353"/>
      <c r="H23" s="33">
        <v>0</v>
      </c>
      <c r="I23" s="353"/>
      <c r="J23" s="334" t="s">
        <v>203</v>
      </c>
      <c r="K23" s="8">
        <v>304</v>
      </c>
    </row>
    <row r="24" spans="1:11">
      <c r="A24" s="8">
        <v>305</v>
      </c>
      <c r="B24" s="30">
        <v>451</v>
      </c>
      <c r="C24">
        <v>4510041</v>
      </c>
      <c r="D24" t="s">
        <v>1723</v>
      </c>
      <c r="E24" s="353">
        <v>1105295.1100000001</v>
      </c>
      <c r="F24" s="353"/>
      <c r="G24" s="353"/>
      <c r="H24" s="33">
        <v>0</v>
      </c>
      <c r="I24" s="353"/>
      <c r="J24" s="334" t="s">
        <v>203</v>
      </c>
      <c r="K24" s="8">
        <v>305</v>
      </c>
    </row>
    <row r="25" spans="1:11">
      <c r="A25" s="8">
        <v>306</v>
      </c>
      <c r="B25" s="30">
        <v>451</v>
      </c>
      <c r="C25">
        <v>4510043</v>
      </c>
      <c r="D25" t="s">
        <v>1724</v>
      </c>
      <c r="E25" s="353">
        <v>813701.48</v>
      </c>
      <c r="F25" s="353"/>
      <c r="G25" s="353"/>
      <c r="H25" s="33">
        <v>0</v>
      </c>
      <c r="I25" s="353"/>
      <c r="J25" s="334" t="s">
        <v>203</v>
      </c>
      <c r="K25" s="8">
        <v>306</v>
      </c>
    </row>
    <row r="26" spans="1:11">
      <c r="A26" s="8">
        <v>307</v>
      </c>
      <c r="B26" s="57"/>
      <c r="C26" s="50"/>
      <c r="D26" s="50"/>
      <c r="E26" s="353">
        <v>0</v>
      </c>
      <c r="F26" s="353"/>
      <c r="G26" s="353"/>
      <c r="H26" s="33">
        <v>0</v>
      </c>
      <c r="I26" s="353"/>
      <c r="J26" s="334"/>
      <c r="K26" s="8">
        <v>307</v>
      </c>
    </row>
    <row r="27" spans="1:11">
      <c r="A27" s="8">
        <v>308</v>
      </c>
      <c r="B27" s="352" t="s">
        <v>634</v>
      </c>
      <c r="C27" s="50"/>
      <c r="D27" s="50"/>
      <c r="E27" s="353"/>
      <c r="F27" s="353"/>
      <c r="G27" s="353"/>
      <c r="H27" s="33">
        <v>0</v>
      </c>
      <c r="I27" s="353"/>
      <c r="J27" s="334"/>
      <c r="K27" s="8">
        <v>308</v>
      </c>
    </row>
    <row r="28" spans="1:11">
      <c r="A28" s="8"/>
      <c r="B28" s="58" t="s">
        <v>1725</v>
      </c>
      <c r="C28" s="55"/>
      <c r="D28" s="55"/>
      <c r="E28" s="55"/>
      <c r="F28" s="55"/>
      <c r="G28" s="55"/>
      <c r="H28" s="55"/>
      <c r="I28" s="55"/>
      <c r="J28" s="55"/>
      <c r="K28" s="8"/>
    </row>
    <row r="29" spans="1:11">
      <c r="A29" s="8">
        <v>400</v>
      </c>
      <c r="B29" s="30"/>
      <c r="D29" s="15" t="s">
        <v>1726</v>
      </c>
      <c r="E29" s="499">
        <v>3191997</v>
      </c>
      <c r="F29" s="354"/>
      <c r="G29" s="354"/>
      <c r="H29" s="354"/>
      <c r="I29" s="33"/>
      <c r="J29" s="334"/>
      <c r="K29" s="8">
        <v>400</v>
      </c>
    </row>
    <row r="30" spans="1:11">
      <c r="A30" s="8">
        <v>401</v>
      </c>
      <c r="B30" s="30"/>
      <c r="D30" s="15" t="s">
        <v>1727</v>
      </c>
      <c r="E30" s="354">
        <v>3191997</v>
      </c>
      <c r="F30" s="354">
        <v>0</v>
      </c>
      <c r="G30" s="354">
        <v>0</v>
      </c>
      <c r="H30" s="354">
        <v>0</v>
      </c>
      <c r="I30" s="354">
        <v>0</v>
      </c>
      <c r="J30" s="334"/>
      <c r="K30" s="8">
        <v>401</v>
      </c>
    </row>
    <row r="31" spans="1:11">
      <c r="A31" s="8">
        <v>402</v>
      </c>
      <c r="B31" s="30">
        <v>453</v>
      </c>
      <c r="C31">
        <v>4530000</v>
      </c>
      <c r="D31" t="s">
        <v>1725</v>
      </c>
      <c r="E31" s="353">
        <v>3191997</v>
      </c>
      <c r="F31" s="353"/>
      <c r="G31" s="353"/>
      <c r="H31" s="33">
        <v>0</v>
      </c>
      <c r="I31" s="353"/>
      <c r="J31" s="334" t="s">
        <v>203</v>
      </c>
      <c r="K31" s="8">
        <v>402</v>
      </c>
    </row>
    <row r="32" spans="1:11">
      <c r="A32" s="8">
        <v>403</v>
      </c>
      <c r="B32" s="57"/>
      <c r="C32" s="50"/>
      <c r="D32" s="50"/>
      <c r="E32" s="353"/>
      <c r="F32" s="353"/>
      <c r="G32" s="353"/>
      <c r="H32" s="33">
        <v>0</v>
      </c>
      <c r="I32" s="353"/>
      <c r="J32" s="334"/>
      <c r="K32" s="8">
        <v>403</v>
      </c>
    </row>
    <row r="33" spans="1:11">
      <c r="A33" s="8">
        <v>404</v>
      </c>
      <c r="B33" s="352" t="s">
        <v>1728</v>
      </c>
      <c r="C33" s="50"/>
      <c r="D33" s="50"/>
      <c r="E33" s="353"/>
      <c r="F33" s="353"/>
      <c r="G33" s="353"/>
      <c r="H33" s="33">
        <v>0</v>
      </c>
      <c r="I33" s="353"/>
      <c r="J33" s="334"/>
      <c r="K33" s="8">
        <v>404</v>
      </c>
    </row>
    <row r="34" spans="1:11">
      <c r="A34" s="8"/>
      <c r="B34" s="58" t="s">
        <v>1567</v>
      </c>
      <c r="C34" s="55"/>
      <c r="D34" s="55"/>
      <c r="E34" s="55"/>
      <c r="F34" s="55"/>
      <c r="G34" s="55"/>
      <c r="H34" s="55"/>
      <c r="I34" s="55"/>
      <c r="J34" s="55"/>
      <c r="K34" s="8"/>
    </row>
    <row r="35" spans="1:11">
      <c r="A35" s="8">
        <v>500</v>
      </c>
      <c r="B35" s="30"/>
      <c r="D35" s="15" t="s">
        <v>1729</v>
      </c>
      <c r="E35" s="499">
        <v>68263578</v>
      </c>
      <c r="F35" s="354"/>
      <c r="G35" s="354"/>
      <c r="H35" s="354"/>
      <c r="I35" s="33"/>
      <c r="J35" s="334"/>
      <c r="K35" s="8">
        <v>500</v>
      </c>
    </row>
    <row r="36" spans="1:11">
      <c r="A36" s="8">
        <v>501</v>
      </c>
      <c r="B36" s="30"/>
      <c r="D36" s="15" t="s">
        <v>1730</v>
      </c>
      <c r="E36" s="354">
        <v>68263578</v>
      </c>
      <c r="F36" s="354">
        <v>4068965</v>
      </c>
      <c r="G36" s="354">
        <v>7461297</v>
      </c>
      <c r="H36" s="354">
        <v>11530262</v>
      </c>
      <c r="I36" s="354">
        <v>16697902.620000001</v>
      </c>
      <c r="J36" s="334"/>
      <c r="K36" s="8">
        <v>501</v>
      </c>
    </row>
    <row r="37" spans="1:11">
      <c r="A37" s="8">
        <v>502</v>
      </c>
      <c r="B37" s="30">
        <v>454</v>
      </c>
      <c r="C37">
        <v>4540010</v>
      </c>
      <c r="D37" s="17" t="s">
        <v>1731</v>
      </c>
      <c r="E37" s="353">
        <v>43701376</v>
      </c>
      <c r="F37" s="353">
        <v>4068965</v>
      </c>
      <c r="G37" s="353">
        <v>7461297</v>
      </c>
      <c r="H37" s="33">
        <v>11530262</v>
      </c>
      <c r="I37" s="353"/>
      <c r="J37" s="334" t="s">
        <v>1732</v>
      </c>
      <c r="K37" s="8">
        <v>502</v>
      </c>
    </row>
    <row r="38" spans="1:11">
      <c r="A38" s="8">
        <v>503</v>
      </c>
      <c r="B38" s="30">
        <v>454</v>
      </c>
      <c r="C38">
        <v>4540012</v>
      </c>
      <c r="D38" t="s">
        <v>1733</v>
      </c>
      <c r="E38" s="353">
        <v>20169782</v>
      </c>
      <c r="F38" s="353"/>
      <c r="G38" s="353"/>
      <c r="H38" s="33">
        <v>0</v>
      </c>
      <c r="I38" s="353">
        <v>13325974.49</v>
      </c>
      <c r="J38" s="334" t="s">
        <v>203</v>
      </c>
      <c r="K38" s="8">
        <v>503</v>
      </c>
    </row>
    <row r="39" spans="1:11">
      <c r="A39" s="8">
        <v>504</v>
      </c>
      <c r="B39" s="30">
        <v>454</v>
      </c>
      <c r="C39">
        <v>4540013</v>
      </c>
      <c r="D39" t="s">
        <v>1734</v>
      </c>
      <c r="E39" s="353">
        <v>4392420</v>
      </c>
      <c r="F39" s="353"/>
      <c r="G39" s="353"/>
      <c r="H39" s="33">
        <v>0</v>
      </c>
      <c r="I39" s="353">
        <v>3371928.13</v>
      </c>
      <c r="J39" s="334" t="s">
        <v>203</v>
      </c>
      <c r="K39" s="8">
        <v>504</v>
      </c>
    </row>
    <row r="40" spans="1:11">
      <c r="A40" s="8">
        <v>505</v>
      </c>
      <c r="B40" s="57"/>
      <c r="C40" s="50"/>
      <c r="D40" s="50"/>
      <c r="E40" s="353"/>
      <c r="F40" s="353"/>
      <c r="G40" s="353"/>
      <c r="H40" s="33">
        <v>0</v>
      </c>
      <c r="I40" s="353"/>
      <c r="J40" s="334"/>
      <c r="K40" s="8">
        <v>505</v>
      </c>
    </row>
    <row r="41" spans="1:11">
      <c r="A41" s="8">
        <v>506</v>
      </c>
      <c r="B41" s="352" t="s">
        <v>1728</v>
      </c>
      <c r="C41" s="50"/>
      <c r="D41" s="50"/>
      <c r="E41" s="353"/>
      <c r="F41" s="353"/>
      <c r="G41" s="353"/>
      <c r="H41" s="33">
        <v>0</v>
      </c>
      <c r="I41" s="353"/>
      <c r="J41" s="334"/>
      <c r="K41" s="8">
        <v>506</v>
      </c>
    </row>
    <row r="42" spans="1:11">
      <c r="A42" s="8"/>
      <c r="B42" s="58" t="s">
        <v>1735</v>
      </c>
      <c r="C42" s="55"/>
      <c r="D42" s="55"/>
      <c r="E42" s="55"/>
      <c r="F42" s="55"/>
      <c r="G42" s="55"/>
      <c r="H42" s="55"/>
      <c r="I42" s="55"/>
      <c r="J42" s="55"/>
      <c r="K42" s="8"/>
    </row>
    <row r="43" spans="1:11">
      <c r="A43" s="8">
        <v>600</v>
      </c>
      <c r="B43" s="30"/>
      <c r="D43" s="15" t="s">
        <v>1736</v>
      </c>
      <c r="E43" s="499">
        <v>-179042742</v>
      </c>
      <c r="F43" s="354"/>
      <c r="G43" s="354"/>
      <c r="H43" s="354"/>
      <c r="I43" s="33"/>
      <c r="J43" s="17" t="s">
        <v>111</v>
      </c>
      <c r="K43" s="8">
        <v>600</v>
      </c>
    </row>
    <row r="44" spans="1:11">
      <c r="A44" s="8">
        <v>601</v>
      </c>
      <c r="B44" s="30"/>
      <c r="D44" s="15" t="s">
        <v>1737</v>
      </c>
      <c r="E44" s="354">
        <v>-179042742.30000007</v>
      </c>
      <c r="F44" s="354">
        <v>4954606</v>
      </c>
      <c r="G44" s="354">
        <v>979907</v>
      </c>
      <c r="H44" s="354">
        <v>5934513</v>
      </c>
      <c r="I44" s="354">
        <v>42374838.259999998</v>
      </c>
      <c r="J44" s="334"/>
      <c r="K44" s="8">
        <v>601</v>
      </c>
    </row>
    <row r="45" spans="1:11">
      <c r="A45" s="8">
        <v>602</v>
      </c>
      <c r="B45" s="30">
        <v>456</v>
      </c>
      <c r="C45">
        <v>4560099</v>
      </c>
      <c r="D45" t="s">
        <v>1738</v>
      </c>
      <c r="E45" s="353">
        <v>85614954.869999975</v>
      </c>
      <c r="F45" s="353"/>
      <c r="G45" s="353"/>
      <c r="H45" s="33">
        <v>0</v>
      </c>
      <c r="I45" s="353"/>
      <c r="J45" s="334" t="s">
        <v>203</v>
      </c>
      <c r="K45" s="8">
        <v>602</v>
      </c>
    </row>
    <row r="46" spans="1:11">
      <c r="A46" s="8">
        <v>603</v>
      </c>
      <c r="B46" s="30">
        <v>456</v>
      </c>
      <c r="D46" t="s">
        <v>1739</v>
      </c>
      <c r="E46" s="353">
        <v>624405</v>
      </c>
      <c r="F46" s="353"/>
      <c r="G46" s="353"/>
      <c r="H46" s="33">
        <v>0</v>
      </c>
      <c r="I46" s="353"/>
      <c r="J46" s="334" t="s">
        <v>203</v>
      </c>
      <c r="K46" s="8">
        <v>603</v>
      </c>
    </row>
    <row r="47" spans="1:11">
      <c r="A47" s="8">
        <v>604</v>
      </c>
      <c r="B47" s="30">
        <v>456</v>
      </c>
      <c r="C47">
        <v>4560050</v>
      </c>
      <c r="D47" t="s">
        <v>1740</v>
      </c>
      <c r="E47" s="353">
        <v>728872.17</v>
      </c>
      <c r="F47" s="353"/>
      <c r="G47" s="353"/>
      <c r="H47" s="33">
        <v>0</v>
      </c>
      <c r="I47" s="353"/>
      <c r="J47" s="334" t="s">
        <v>203</v>
      </c>
      <c r="K47" s="8">
        <v>604</v>
      </c>
    </row>
    <row r="48" spans="1:11">
      <c r="A48" s="8">
        <v>605</v>
      </c>
      <c r="B48" s="30">
        <v>456</v>
      </c>
      <c r="C48">
        <v>4560070</v>
      </c>
      <c r="D48" t="s">
        <v>1741</v>
      </c>
      <c r="E48" s="353">
        <v>0</v>
      </c>
      <c r="F48" s="353"/>
      <c r="G48" s="353"/>
      <c r="H48" s="33">
        <v>0</v>
      </c>
      <c r="I48" s="353"/>
      <c r="J48" s="334" t="s">
        <v>203</v>
      </c>
      <c r="K48" s="8">
        <v>605</v>
      </c>
    </row>
    <row r="49" spans="1:11">
      <c r="A49" s="8">
        <v>606</v>
      </c>
      <c r="B49" s="30">
        <v>456</v>
      </c>
      <c r="C49">
        <v>4560014</v>
      </c>
      <c r="D49" t="s">
        <v>1742</v>
      </c>
      <c r="E49" s="353">
        <v>71187.259999999995</v>
      </c>
      <c r="F49" s="353"/>
      <c r="G49" s="353"/>
      <c r="H49" s="33">
        <v>0</v>
      </c>
      <c r="I49" s="353"/>
      <c r="J49" s="334" t="s">
        <v>203</v>
      </c>
      <c r="K49" s="8">
        <v>606</v>
      </c>
    </row>
    <row r="50" spans="1:11">
      <c r="A50" s="8">
        <v>607</v>
      </c>
      <c r="B50" s="30">
        <v>456</v>
      </c>
      <c r="C50">
        <v>4560022</v>
      </c>
      <c r="D50" t="s">
        <v>1743</v>
      </c>
      <c r="E50" s="353">
        <v>2867317.7300000004</v>
      </c>
      <c r="F50" s="353"/>
      <c r="G50" s="353"/>
      <c r="H50" s="33">
        <v>0</v>
      </c>
      <c r="I50" s="353"/>
      <c r="J50" s="334" t="s">
        <v>203</v>
      </c>
      <c r="K50" s="8">
        <v>607</v>
      </c>
    </row>
    <row r="51" spans="1:11">
      <c r="A51" s="8">
        <v>608</v>
      </c>
      <c r="B51" s="30">
        <v>456</v>
      </c>
      <c r="C51">
        <v>4560093</v>
      </c>
      <c r="D51" t="s">
        <v>1744</v>
      </c>
      <c r="E51" s="353">
        <v>4937.76</v>
      </c>
      <c r="F51" s="353"/>
      <c r="G51" s="353"/>
      <c r="H51" s="33">
        <v>0</v>
      </c>
      <c r="I51" s="353"/>
      <c r="J51" s="334" t="s">
        <v>203</v>
      </c>
      <c r="K51" s="8">
        <v>608</v>
      </c>
    </row>
    <row r="52" spans="1:11">
      <c r="A52" s="8">
        <v>609</v>
      </c>
      <c r="B52" s="30">
        <v>456</v>
      </c>
      <c r="C52">
        <v>4560091</v>
      </c>
      <c r="D52" t="s">
        <v>1745</v>
      </c>
      <c r="E52" s="353">
        <v>48106710.039999999</v>
      </c>
      <c r="F52" s="353"/>
      <c r="G52" s="353"/>
      <c r="H52" s="33">
        <v>0</v>
      </c>
      <c r="I52" s="353"/>
      <c r="J52" s="334" t="s">
        <v>203</v>
      </c>
      <c r="K52" s="8">
        <v>609</v>
      </c>
    </row>
    <row r="53" spans="1:11">
      <c r="A53" s="8">
        <v>610</v>
      </c>
      <c r="B53" s="30">
        <v>456</v>
      </c>
      <c r="C53">
        <v>4560098</v>
      </c>
      <c r="D53" t="s">
        <v>1746</v>
      </c>
      <c r="E53" s="353">
        <v>77058758.680000007</v>
      </c>
      <c r="F53" s="353"/>
      <c r="G53" s="353"/>
      <c r="H53" s="33">
        <v>0</v>
      </c>
      <c r="I53" s="353">
        <v>13022623.26</v>
      </c>
      <c r="J53" s="334" t="s">
        <v>203</v>
      </c>
      <c r="K53" s="8">
        <v>610</v>
      </c>
    </row>
    <row r="54" spans="1:11">
      <c r="A54" s="8">
        <v>611</v>
      </c>
      <c r="B54" s="30">
        <v>456</v>
      </c>
      <c r="C54">
        <v>4560000</v>
      </c>
      <c r="D54" t="s">
        <v>1747</v>
      </c>
      <c r="E54" s="353">
        <v>35213382</v>
      </c>
      <c r="F54" s="353"/>
      <c r="G54" s="353"/>
      <c r="H54" s="33">
        <v>0</v>
      </c>
      <c r="I54" s="353"/>
      <c r="J54" s="334" t="s">
        <v>203</v>
      </c>
      <c r="K54" s="8">
        <v>611</v>
      </c>
    </row>
    <row r="55" spans="1:11">
      <c r="A55" s="8">
        <v>612</v>
      </c>
      <c r="B55" s="30">
        <v>456</v>
      </c>
      <c r="C55">
        <v>4560001</v>
      </c>
      <c r="D55" t="s">
        <v>1748</v>
      </c>
      <c r="E55" s="353">
        <v>43991133.649999991</v>
      </c>
      <c r="F55" s="353">
        <v>534295</v>
      </c>
      <c r="G55" s="353">
        <v>979907</v>
      </c>
      <c r="H55" s="33">
        <v>1514202</v>
      </c>
      <c r="I55" s="353">
        <v>12</v>
      </c>
      <c r="J55" s="334" t="s">
        <v>1749</v>
      </c>
      <c r="K55" s="8">
        <v>612</v>
      </c>
    </row>
    <row r="56" spans="1:11">
      <c r="A56" s="8">
        <v>613</v>
      </c>
      <c r="B56" s="30">
        <v>456</v>
      </c>
      <c r="C56">
        <v>4560002</v>
      </c>
      <c r="D56" t="s">
        <v>1750</v>
      </c>
      <c r="E56" s="353">
        <v>-1254</v>
      </c>
      <c r="F56" s="353"/>
      <c r="G56" s="353"/>
      <c r="H56" s="33">
        <v>0</v>
      </c>
      <c r="I56" s="353"/>
      <c r="J56" s="334" t="s">
        <v>203</v>
      </c>
      <c r="K56" s="8">
        <v>613</v>
      </c>
    </row>
    <row r="57" spans="1:11">
      <c r="A57" s="8">
        <v>614</v>
      </c>
      <c r="B57" s="30">
        <v>456</v>
      </c>
      <c r="C57">
        <v>4560003</v>
      </c>
      <c r="D57" t="s">
        <v>1751</v>
      </c>
      <c r="E57" s="353">
        <v>14702254.24</v>
      </c>
      <c r="F57" s="353"/>
      <c r="G57" s="353"/>
      <c r="H57" s="33">
        <v>0</v>
      </c>
      <c r="I57" s="353"/>
      <c r="J57" s="334" t="s">
        <v>203</v>
      </c>
      <c r="K57" s="8">
        <v>614</v>
      </c>
    </row>
    <row r="58" spans="1:11">
      <c r="A58" s="8">
        <v>615</v>
      </c>
      <c r="B58" s="30">
        <v>456</v>
      </c>
      <c r="C58">
        <v>4560095</v>
      </c>
      <c r="D58" t="s">
        <v>1752</v>
      </c>
      <c r="E58" s="353">
        <v>-422472356.57999998</v>
      </c>
      <c r="F58" s="353"/>
      <c r="G58" s="353"/>
      <c r="H58" s="33">
        <v>0</v>
      </c>
      <c r="I58" s="353"/>
      <c r="J58" s="334" t="s">
        <v>203</v>
      </c>
      <c r="K58" s="8">
        <v>615</v>
      </c>
    </row>
    <row r="59" spans="1:11">
      <c r="A59" s="8">
        <v>616</v>
      </c>
      <c r="B59" s="30">
        <v>456</v>
      </c>
      <c r="C59">
        <v>4560005</v>
      </c>
      <c r="D59" t="s">
        <v>1753</v>
      </c>
      <c r="E59" s="353">
        <v>-102089590.55</v>
      </c>
      <c r="F59" s="353"/>
      <c r="G59" s="353"/>
      <c r="H59" s="33">
        <v>0</v>
      </c>
      <c r="I59" s="353"/>
      <c r="J59" s="334" t="s">
        <v>203</v>
      </c>
      <c r="K59" s="8">
        <v>616</v>
      </c>
    </row>
    <row r="60" spans="1:11">
      <c r="A60" s="8">
        <v>617</v>
      </c>
      <c r="B60" s="30">
        <v>456</v>
      </c>
      <c r="C60">
        <v>9414000</v>
      </c>
      <c r="D60" t="s">
        <v>1754</v>
      </c>
      <c r="E60" s="353">
        <v>0</v>
      </c>
      <c r="F60" s="353"/>
      <c r="G60" s="353"/>
      <c r="H60" s="33">
        <v>0</v>
      </c>
      <c r="I60" s="353"/>
      <c r="J60" s="334" t="s">
        <v>203</v>
      </c>
      <c r="K60" s="8">
        <v>617</v>
      </c>
    </row>
    <row r="61" spans="1:11">
      <c r="A61" s="8">
        <v>618</v>
      </c>
      <c r="B61" s="30">
        <v>456.1</v>
      </c>
      <c r="C61">
        <v>4561000</v>
      </c>
      <c r="D61" t="s">
        <v>1755</v>
      </c>
      <c r="E61" s="353">
        <v>4420311.08</v>
      </c>
      <c r="F61" s="353">
        <v>4420311</v>
      </c>
      <c r="G61" s="353"/>
      <c r="H61" s="33">
        <v>4420311</v>
      </c>
      <c r="I61" s="353"/>
      <c r="J61" s="334" t="s">
        <v>1756</v>
      </c>
      <c r="K61" s="8">
        <v>618</v>
      </c>
    </row>
    <row r="62" spans="1:11">
      <c r="A62" s="8">
        <v>619</v>
      </c>
      <c r="B62" s="57">
        <v>456</v>
      </c>
      <c r="C62" s="50">
        <v>4560052</v>
      </c>
      <c r="D62" s="50" t="s">
        <v>1738</v>
      </c>
      <c r="E62" s="353">
        <v>32116234.349999934</v>
      </c>
      <c r="F62" s="353"/>
      <c r="G62" s="353"/>
      <c r="H62" s="33"/>
      <c r="I62" s="353">
        <v>29352203</v>
      </c>
      <c r="J62" s="334"/>
      <c r="K62" s="8">
        <v>619</v>
      </c>
    </row>
    <row r="63" spans="1:11">
      <c r="A63" s="8">
        <v>620</v>
      </c>
      <c r="B63" s="352" t="s">
        <v>1728</v>
      </c>
      <c r="C63" s="50"/>
      <c r="D63" s="50"/>
      <c r="E63" s="353"/>
      <c r="F63" s="353"/>
      <c r="G63" s="353"/>
      <c r="H63" s="33"/>
      <c r="I63" s="353"/>
      <c r="J63" s="334"/>
      <c r="K63" s="8">
        <v>620</v>
      </c>
    </row>
    <row r="65" spans="1:11">
      <c r="A65" s="8"/>
      <c r="B65" s="16" t="s">
        <v>306</v>
      </c>
      <c r="E65" s="334"/>
      <c r="K65" s="8"/>
    </row>
    <row r="66" spans="1:11">
      <c r="A66" s="8"/>
      <c r="B66" t="s">
        <v>1757</v>
      </c>
      <c r="K66" s="8"/>
    </row>
    <row r="67" spans="1:11">
      <c r="A67" s="8"/>
      <c r="B67" t="s">
        <v>1758</v>
      </c>
      <c r="K67" s="8"/>
    </row>
    <row r="68" spans="1:11">
      <c r="B68" t="s">
        <v>1759</v>
      </c>
    </row>
    <row r="69" spans="1:11">
      <c r="B69" t="s">
        <v>1760</v>
      </c>
    </row>
    <row r="70" spans="1:11">
      <c r="B70" t="s">
        <v>1761</v>
      </c>
    </row>
    <row r="144" spans="11:11">
      <c r="K144" t="e">
        <f>E30/E144*E151</f>
        <v>#DIV/0!</v>
      </c>
    </row>
    <row r="160" spans="10:10">
      <c r="J160">
        <f>E160-D160</f>
        <v>0</v>
      </c>
    </row>
  </sheetData>
  <printOptions horizontalCentered="1"/>
  <pageMargins left="1" right="1" top="1" bottom="1" header="0.5" footer="0.5"/>
  <pageSetup scale="53"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160"/>
  <sheetViews>
    <sheetView tabSelected="1" view="pageBreakPreview" zoomScale="80" zoomScaleSheetLayoutView="80" workbookViewId="0">
      <selection activeCell="E174" sqref="E174"/>
    </sheetView>
  </sheetViews>
  <sheetFormatPr defaultColWidth="9.1796875" defaultRowHeight="14.5"/>
  <cols>
    <col min="1" max="1" width="5.1796875" bestFit="1" customWidth="1"/>
    <col min="2" max="2" width="72.54296875" customWidth="1"/>
    <col min="3" max="3" width="13.453125" bestFit="1" customWidth="1"/>
    <col min="4" max="4" width="14.26953125" customWidth="1"/>
    <col min="5" max="5" width="15.453125" customWidth="1"/>
    <col min="6" max="6" width="16.54296875" customWidth="1"/>
    <col min="7" max="7" width="4.7265625" bestFit="1" customWidth="1"/>
    <col min="8" max="8" width="9.1796875" customWidth="1"/>
    <col min="9" max="9" width="14.54296875" bestFit="1" customWidth="1"/>
    <col min="10" max="10" width="13.453125" customWidth="1"/>
    <col min="11" max="11" width="25.1796875" customWidth="1"/>
  </cols>
  <sheetData>
    <row r="1" spans="1:7">
      <c r="B1" s="12" t="s">
        <v>57</v>
      </c>
      <c r="C1" s="15"/>
      <c r="F1" s="15" t="str">
        <f>CONCATENATE("Prior Year: ",'1-BaseTRR'!$G$2)</f>
        <v>Prior Year: 2021</v>
      </c>
    </row>
    <row r="2" spans="1:7">
      <c r="B2" s="119" t="s">
        <v>131</v>
      </c>
      <c r="C2" s="15"/>
      <c r="D2" s="15"/>
      <c r="E2" s="15"/>
      <c r="F2" s="15"/>
    </row>
    <row r="3" spans="1:7">
      <c r="B3" s="144"/>
    </row>
    <row r="4" spans="1:7">
      <c r="A4" s="13"/>
      <c r="B4" s="359" t="s">
        <v>1762</v>
      </c>
      <c r="C4" s="355"/>
      <c r="D4" s="355"/>
      <c r="E4" s="355"/>
      <c r="F4" s="355"/>
      <c r="G4" s="13"/>
    </row>
    <row r="5" spans="1:7">
      <c r="A5" s="13" t="s">
        <v>100</v>
      </c>
      <c r="B5" s="13" t="s">
        <v>6</v>
      </c>
      <c r="C5" s="13" t="s">
        <v>134</v>
      </c>
      <c r="D5" s="13" t="s">
        <v>135</v>
      </c>
      <c r="E5" s="13"/>
      <c r="F5" s="13"/>
      <c r="G5" s="13" t="str">
        <f>A5</f>
        <v>Line</v>
      </c>
    </row>
    <row r="6" spans="1:7">
      <c r="A6" s="8">
        <v>100</v>
      </c>
      <c r="B6" t="s">
        <v>1763</v>
      </c>
      <c r="C6" s="22">
        <f>'20-RevenueCredits Corrected V1'!I10</f>
        <v>59783018.879999995</v>
      </c>
      <c r="D6" s="6" t="s">
        <v>1764</v>
      </c>
      <c r="G6" s="8">
        <f>A6</f>
        <v>100</v>
      </c>
    </row>
    <row r="7" spans="1:7">
      <c r="A7" s="8"/>
      <c r="C7" s="33"/>
      <c r="G7" s="8"/>
    </row>
    <row r="8" spans="1:7">
      <c r="A8" s="8">
        <f>A6+1</f>
        <v>101</v>
      </c>
      <c r="B8" t="s">
        <v>1765</v>
      </c>
      <c r="C8" s="52">
        <v>16956753.479999997</v>
      </c>
      <c r="D8" s="566" t="s">
        <v>1766</v>
      </c>
      <c r="E8" s="566"/>
      <c r="F8" s="566"/>
      <c r="G8" s="8">
        <f>A8</f>
        <v>101</v>
      </c>
    </row>
    <row r="9" spans="1:7">
      <c r="A9" s="8">
        <f>A8+1</f>
        <v>102</v>
      </c>
      <c r="B9" t="s">
        <v>1767</v>
      </c>
      <c r="C9" s="49">
        <v>571329.92641213769</v>
      </c>
      <c r="D9" s="566" t="s">
        <v>1768</v>
      </c>
      <c r="E9" s="566"/>
      <c r="F9" s="566"/>
      <c r="G9" s="8">
        <f>A9</f>
        <v>102</v>
      </c>
    </row>
    <row r="10" spans="1:7">
      <c r="A10" s="8">
        <f>A9+1</f>
        <v>103</v>
      </c>
      <c r="B10" s="12" t="s">
        <v>1769</v>
      </c>
      <c r="C10" s="24">
        <f>C8+C9</f>
        <v>17528083.406412136</v>
      </c>
      <c r="D10" t="str">
        <f>"Line "&amp;A8&amp;" + Line "&amp;A9&amp;""</f>
        <v>Line 101 + Line 102</v>
      </c>
      <c r="G10" s="8">
        <f>A10</f>
        <v>103</v>
      </c>
    </row>
    <row r="11" spans="1:7">
      <c r="A11" s="8"/>
      <c r="C11" s="114"/>
      <c r="G11" s="8"/>
    </row>
    <row r="12" spans="1:7">
      <c r="A12" s="8"/>
      <c r="B12" s="359" t="s">
        <v>1770</v>
      </c>
      <c r="C12" s="355"/>
      <c r="D12" s="355"/>
      <c r="E12" s="355"/>
      <c r="F12" s="355"/>
      <c r="G12" s="13"/>
    </row>
    <row r="13" spans="1:7">
      <c r="A13" s="8"/>
      <c r="B13" s="358"/>
      <c r="C13" s="13" t="s">
        <v>371</v>
      </c>
      <c r="D13" s="13" t="s">
        <v>372</v>
      </c>
      <c r="E13" s="13" t="s">
        <v>373</v>
      </c>
      <c r="F13" s="13" t="s">
        <v>374</v>
      </c>
      <c r="G13" s="13"/>
    </row>
    <row r="14" spans="1:7">
      <c r="A14" s="8"/>
      <c r="B14" s="358"/>
      <c r="C14" s="30" t="s">
        <v>111</v>
      </c>
      <c r="D14" s="30" t="s">
        <v>203</v>
      </c>
      <c r="E14" s="30" t="s">
        <v>1356</v>
      </c>
      <c r="F14" s="30" t="s">
        <v>251</v>
      </c>
      <c r="G14" s="13"/>
    </row>
    <row r="15" spans="1:7">
      <c r="A15" s="8"/>
      <c r="B15" s="358"/>
      <c r="C15" s="13"/>
      <c r="D15" s="13"/>
      <c r="E15" s="13"/>
      <c r="F15" s="8" t="s">
        <v>1771</v>
      </c>
      <c r="G15" s="13"/>
    </row>
    <row r="16" spans="1:7">
      <c r="A16" s="13" t="s">
        <v>100</v>
      </c>
      <c r="B16" s="13" t="s">
        <v>1772</v>
      </c>
      <c r="C16" s="13" t="s">
        <v>422</v>
      </c>
      <c r="D16" s="13" t="s">
        <v>1384</v>
      </c>
      <c r="E16" s="13" t="s">
        <v>1773</v>
      </c>
      <c r="F16" s="13" t="s">
        <v>1773</v>
      </c>
      <c r="G16" s="13" t="s">
        <v>100</v>
      </c>
    </row>
    <row r="17" spans="1:9">
      <c r="A17" s="8">
        <v>200</v>
      </c>
      <c r="B17" s="14" t="s">
        <v>465</v>
      </c>
      <c r="C17" s="557">
        <f>SUM(C18:C23)</f>
        <v>59783019.330000006</v>
      </c>
      <c r="D17" s="557">
        <f t="shared" ref="D17:F17" si="0">SUM(D18:D23)</f>
        <v>17528083.406412136</v>
      </c>
      <c r="E17" s="557">
        <f t="shared" si="0"/>
        <v>42254935.923587866</v>
      </c>
      <c r="F17" s="557">
        <f t="shared" si="0"/>
        <v>42254935.923587866</v>
      </c>
      <c r="G17" s="8">
        <f t="shared" ref="G17:G24" si="1">A17</f>
        <v>200</v>
      </c>
    </row>
    <row r="18" spans="1:9">
      <c r="A18" s="8">
        <f>A17+1</f>
        <v>201</v>
      </c>
      <c r="B18" t="s">
        <v>1774</v>
      </c>
      <c r="C18" s="52">
        <v>10131344.369999999</v>
      </c>
      <c r="D18" s="52">
        <v>1228877.0707586599</v>
      </c>
      <c r="E18" s="32">
        <f t="shared" ref="E18:E23" si="2">C18-D18</f>
        <v>8902467.2992413398</v>
      </c>
      <c r="F18" s="32">
        <f t="shared" ref="F18:F23" si="3">IF(E18&gt;0,E18,0)</f>
        <v>8902467.2992413398</v>
      </c>
      <c r="G18" s="8">
        <f t="shared" si="1"/>
        <v>201</v>
      </c>
    </row>
    <row r="19" spans="1:9">
      <c r="A19" s="8">
        <f>A18+1</f>
        <v>202</v>
      </c>
      <c r="B19" t="s">
        <v>1775</v>
      </c>
      <c r="C19" s="52">
        <v>16431617.200000001</v>
      </c>
      <c r="D19" s="52">
        <v>13105148.789501745</v>
      </c>
      <c r="E19" s="32">
        <f t="shared" si="2"/>
        <v>3326468.4104982559</v>
      </c>
      <c r="F19" s="32">
        <f t="shared" si="3"/>
        <v>3326468.4104982559</v>
      </c>
      <c r="G19" s="8">
        <f t="shared" si="1"/>
        <v>202</v>
      </c>
    </row>
    <row r="20" spans="1:9">
      <c r="A20" s="8">
        <f>A19+1</f>
        <v>203</v>
      </c>
      <c r="B20" t="s">
        <v>1776</v>
      </c>
      <c r="C20" s="52">
        <v>0</v>
      </c>
      <c r="D20" s="52">
        <v>0</v>
      </c>
      <c r="E20" s="32">
        <f t="shared" si="2"/>
        <v>0</v>
      </c>
      <c r="F20" s="32">
        <f t="shared" si="3"/>
        <v>0</v>
      </c>
      <c r="G20" s="8">
        <f t="shared" si="1"/>
        <v>203</v>
      </c>
    </row>
    <row r="21" spans="1:9">
      <c r="A21" s="8">
        <f>A20+1</f>
        <v>204</v>
      </c>
      <c r="B21" t="s">
        <v>1777</v>
      </c>
      <c r="C21" s="52">
        <v>0</v>
      </c>
      <c r="D21" s="52">
        <v>0</v>
      </c>
      <c r="E21" s="32">
        <f t="shared" si="2"/>
        <v>0</v>
      </c>
      <c r="F21" s="32">
        <f t="shared" si="3"/>
        <v>0</v>
      </c>
      <c r="G21" s="8">
        <f t="shared" si="1"/>
        <v>204</v>
      </c>
    </row>
    <row r="22" spans="1:9">
      <c r="A22" s="8">
        <f>A21+1</f>
        <v>205</v>
      </c>
      <c r="B22" t="s">
        <v>1778</v>
      </c>
      <c r="C22" s="52">
        <v>3867854.69</v>
      </c>
      <c r="D22" s="52">
        <v>3194057.5461517321</v>
      </c>
      <c r="E22" s="32">
        <f t="shared" si="2"/>
        <v>673797.14384826785</v>
      </c>
      <c r="F22" s="32">
        <f t="shared" si="3"/>
        <v>673797.14384826785</v>
      </c>
      <c r="G22" s="8">
        <f t="shared" si="1"/>
        <v>205</v>
      </c>
    </row>
    <row r="23" spans="1:9">
      <c r="A23" s="8">
        <v>206</v>
      </c>
      <c r="B23" s="357" t="s">
        <v>1779</v>
      </c>
      <c r="C23" s="500">
        <v>29352203.070000004</v>
      </c>
      <c r="D23" s="500">
        <v>0</v>
      </c>
      <c r="E23" s="501">
        <f t="shared" si="2"/>
        <v>29352203.070000004</v>
      </c>
      <c r="F23" s="486">
        <f t="shared" si="3"/>
        <v>29352203.070000004</v>
      </c>
      <c r="G23" s="8">
        <f t="shared" si="1"/>
        <v>206</v>
      </c>
    </row>
    <row r="24" spans="1:9">
      <c r="A24" s="8">
        <v>207</v>
      </c>
      <c r="B24" s="357" t="s">
        <v>127</v>
      </c>
      <c r="C24" s="500"/>
      <c r="D24" s="500"/>
      <c r="E24" s="501"/>
      <c r="F24" s="486"/>
      <c r="G24" s="8">
        <f t="shared" si="1"/>
        <v>207</v>
      </c>
    </row>
    <row r="25" spans="1:9">
      <c r="A25" s="8"/>
      <c r="B25" s="13"/>
      <c r="C25" s="13"/>
      <c r="D25" s="13"/>
      <c r="E25" s="13"/>
      <c r="F25" s="13"/>
      <c r="G25" s="13"/>
    </row>
    <row r="26" spans="1:9">
      <c r="A26" s="8"/>
      <c r="B26" s="356" t="s">
        <v>1780</v>
      </c>
      <c r="C26" s="55"/>
      <c r="D26" s="55"/>
      <c r="E26" s="55"/>
      <c r="F26" s="55"/>
      <c r="G26" s="30"/>
    </row>
    <row r="27" spans="1:9">
      <c r="A27" s="13" t="s">
        <v>100</v>
      </c>
      <c r="B27" s="13" t="s">
        <v>6</v>
      </c>
      <c r="C27" s="13" t="s">
        <v>134</v>
      </c>
      <c r="D27" s="13" t="s">
        <v>135</v>
      </c>
      <c r="E27" s="13"/>
      <c r="F27" s="13"/>
      <c r="G27" s="13" t="str">
        <f t="shared" ref="G27:G32" si="4">A27</f>
        <v>Line</v>
      </c>
    </row>
    <row r="28" spans="1:9">
      <c r="A28" s="8">
        <v>300</v>
      </c>
      <c r="B28" t="s">
        <v>1781</v>
      </c>
      <c r="C28" s="32">
        <f>F17</f>
        <v>42254935.923587866</v>
      </c>
      <c r="D28" t="str">
        <f>"Line "&amp;A17&amp;", col 4"</f>
        <v>Line 200, col 4</v>
      </c>
      <c r="G28" s="8">
        <f t="shared" si="4"/>
        <v>300</v>
      </c>
    </row>
    <row r="29" spans="1:9">
      <c r="A29" s="8">
        <f>A28+1</f>
        <v>301</v>
      </c>
      <c r="B29" t="s">
        <v>1782</v>
      </c>
      <c r="C29" s="28">
        <f>'1-BaseTRR'!E99</f>
        <v>0.27983599999999997</v>
      </c>
      <c r="D29" t="str">
        <f>"1-BaseTRR, L. "&amp;'1-BaseTRR'!A99&amp;""</f>
        <v>1-BaseTRR, L. 402</v>
      </c>
      <c r="G29" s="8">
        <f t="shared" si="4"/>
        <v>301</v>
      </c>
    </row>
    <row r="30" spans="1:9">
      <c r="A30" s="8">
        <f>A29+1</f>
        <v>302</v>
      </c>
      <c r="B30" t="s">
        <v>1783</v>
      </c>
      <c r="C30">
        <v>1</v>
      </c>
      <c r="D30" s="21" t="s">
        <v>1784</v>
      </c>
      <c r="E30" s="21"/>
      <c r="F30" s="21"/>
      <c r="G30" s="8">
        <f t="shared" si="4"/>
        <v>302</v>
      </c>
    </row>
    <row r="31" spans="1:9">
      <c r="A31" s="8">
        <f>A30+1</f>
        <v>303</v>
      </c>
      <c r="B31" t="s">
        <v>1785</v>
      </c>
      <c r="C31" s="28">
        <f>1/(1+C30-C30*C29)</f>
        <v>0.58133991875193292</v>
      </c>
      <c r="D31" t="str">
        <f>"1 / [1 + Line "&amp;A30&amp;" - (Line "&amp;A30&amp;" * Line "&amp;A29&amp;")]"</f>
        <v>1 / [1 + Line 302 - (Line 302 * Line 301)]</v>
      </c>
      <c r="G31" s="8">
        <f t="shared" si="4"/>
        <v>303</v>
      </c>
      <c r="I31" s="40">
        <f>C23*C32</f>
        <v>12288595.722095966</v>
      </c>
    </row>
    <row r="32" spans="1:9">
      <c r="A32" s="8">
        <f>A31+1</f>
        <v>304</v>
      </c>
      <c r="B32" t="s">
        <v>1786</v>
      </c>
      <c r="C32" s="28">
        <f>1-C31</f>
        <v>0.41866008124806708</v>
      </c>
      <c r="D32" t="str">
        <f>"1 - Line "&amp;A31&amp;""</f>
        <v>1 - Line 303</v>
      </c>
      <c r="G32" s="8">
        <f t="shared" si="4"/>
        <v>304</v>
      </c>
    </row>
    <row r="33" spans="1:7">
      <c r="A33" s="8"/>
      <c r="G33" s="8"/>
    </row>
    <row r="34" spans="1:7">
      <c r="A34" s="8"/>
      <c r="B34" s="356" t="s">
        <v>1787</v>
      </c>
      <c r="C34" s="55"/>
      <c r="D34" s="55"/>
      <c r="E34" s="55"/>
      <c r="F34" s="55"/>
      <c r="G34" s="8"/>
    </row>
    <row r="35" spans="1:7">
      <c r="A35" s="13" t="s">
        <v>100</v>
      </c>
      <c r="B35" s="13" t="s">
        <v>6</v>
      </c>
      <c r="C35" s="13" t="s">
        <v>134</v>
      </c>
      <c r="D35" s="13" t="s">
        <v>135</v>
      </c>
      <c r="E35" s="13"/>
      <c r="F35" s="13"/>
      <c r="G35" s="13" t="str">
        <f>A35</f>
        <v>Line</v>
      </c>
    </row>
    <row r="36" spans="1:7">
      <c r="A36" s="8">
        <v>400</v>
      </c>
      <c r="B36" t="s">
        <v>1788</v>
      </c>
      <c r="C36" s="32">
        <f>C31*C28</f>
        <v>24564481.0166867</v>
      </c>
      <c r="D36" t="str">
        <f>"Line "&amp;A28&amp;" * Line "&amp;A31&amp;""</f>
        <v>Line 300 * Line 303</v>
      </c>
      <c r="G36" s="8">
        <f>A36</f>
        <v>400</v>
      </c>
    </row>
    <row r="37" spans="1:7">
      <c r="A37" s="8">
        <f>A36+1</f>
        <v>401</v>
      </c>
      <c r="B37" t="s">
        <v>1789</v>
      </c>
      <c r="C37" s="32">
        <f>C36*C29</f>
        <v>6874026.1097855391</v>
      </c>
      <c r="D37" t="str">
        <f>"Line "&amp;A36&amp;" * Line "&amp;A29&amp;""</f>
        <v>Line 400 * Line 301</v>
      </c>
      <c r="G37" s="8">
        <f>A37</f>
        <v>401</v>
      </c>
    </row>
    <row r="38" spans="1:7">
      <c r="A38" s="8">
        <f>A37+1</f>
        <v>402</v>
      </c>
      <c r="B38" t="s">
        <v>1790</v>
      </c>
      <c r="C38" s="32">
        <f>C36-C37</f>
        <v>17690454.906901162</v>
      </c>
      <c r="D38" t="str">
        <f>"Line "&amp;A36&amp;" - Line "&amp;A37&amp;""</f>
        <v>Line 400 - Line 401</v>
      </c>
      <c r="G38" s="8">
        <f>A38</f>
        <v>402</v>
      </c>
    </row>
    <row r="39" spans="1:7">
      <c r="A39" s="8">
        <f>A38+1</f>
        <v>403</v>
      </c>
      <c r="B39" t="s">
        <v>1791</v>
      </c>
      <c r="C39" s="32">
        <f>C32*C28</f>
        <v>17690454.906901166</v>
      </c>
      <c r="D39" t="str">
        <f>"Line "&amp;A32&amp;" * Line "&amp;A28&amp;""</f>
        <v>Line 304 * Line 300</v>
      </c>
      <c r="G39" s="8">
        <f>A39</f>
        <v>403</v>
      </c>
    </row>
    <row r="41" spans="1:7">
      <c r="B41" s="16" t="s">
        <v>306</v>
      </c>
    </row>
    <row r="42" spans="1:7">
      <c r="B42" t="s">
        <v>1792</v>
      </c>
    </row>
    <row r="43" spans="1:7">
      <c r="B43" t="s">
        <v>1793</v>
      </c>
    </row>
    <row r="44" spans="1:7">
      <c r="B44" t="s">
        <v>1794</v>
      </c>
    </row>
    <row r="144" spans="11:11">
      <c r="K144" t="e">
        <f>E30/E144*E151</f>
        <v>#DIV/0!</v>
      </c>
    </row>
    <row r="160" spans="10:10">
      <c r="J160">
        <f>E160-D160</f>
        <v>0</v>
      </c>
    </row>
  </sheetData>
  <printOptions horizontalCentered="1"/>
  <pageMargins left="1" right="1" top="1" bottom="1" header="0.5" footer="0.5"/>
  <pageSetup scale="80"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160"/>
  <sheetViews>
    <sheetView tabSelected="1" view="pageBreakPreview" zoomScale="115" zoomScaleSheetLayoutView="115" workbookViewId="0">
      <selection activeCell="E174" sqref="E174"/>
    </sheetView>
  </sheetViews>
  <sheetFormatPr defaultColWidth="9.1796875" defaultRowHeight="14.5"/>
  <cols>
    <col min="1" max="1" width="4.7265625" bestFit="1" customWidth="1"/>
    <col min="2" max="2" width="34.81640625" bestFit="1" customWidth="1"/>
    <col min="3" max="3" width="9.453125" customWidth="1"/>
    <col min="4" max="4" width="46" customWidth="1"/>
    <col min="5" max="5" width="46.1796875" customWidth="1"/>
    <col min="6" max="6" width="4.7265625" bestFit="1" customWidth="1"/>
    <col min="10" max="10" width="13.453125" customWidth="1"/>
    <col min="11" max="11" width="25.1796875" customWidth="1"/>
  </cols>
  <sheetData>
    <row r="1" spans="1:6">
      <c r="B1" s="144" t="s">
        <v>59</v>
      </c>
      <c r="D1" s="14"/>
      <c r="E1" s="15" t="str">
        <f>CONCATENATE("Prior Year: ",'1-BaseTRR'!$G$2)</f>
        <v>Prior Year: 2021</v>
      </c>
    </row>
    <row r="2" spans="1:6">
      <c r="B2" s="119" t="s">
        <v>131</v>
      </c>
      <c r="D2" s="14"/>
      <c r="E2" s="15"/>
    </row>
    <row r="3" spans="1:6">
      <c r="B3" s="144"/>
    </row>
    <row r="4" spans="1:6">
      <c r="B4" s="58" t="s">
        <v>1795</v>
      </c>
      <c r="C4" s="55"/>
      <c r="D4" s="55"/>
      <c r="E4" s="55"/>
    </row>
    <row r="5" spans="1:6">
      <c r="A5" s="13" t="s">
        <v>100</v>
      </c>
      <c r="B5" s="13" t="s">
        <v>6</v>
      </c>
      <c r="C5" s="13" t="s">
        <v>1328</v>
      </c>
      <c r="D5" s="13" t="s">
        <v>594</v>
      </c>
      <c r="E5" s="13" t="s">
        <v>136</v>
      </c>
      <c r="F5" s="13" t="str">
        <f>A5</f>
        <v>Line</v>
      </c>
    </row>
    <row r="6" spans="1:6">
      <c r="A6" s="133">
        <v>100</v>
      </c>
      <c r="B6" t="s">
        <v>239</v>
      </c>
      <c r="C6" s="51">
        <v>0.21</v>
      </c>
      <c r="D6" s="6" t="s">
        <v>1796</v>
      </c>
      <c r="E6" s="415"/>
      <c r="F6" s="133">
        <f>A6</f>
        <v>100</v>
      </c>
    </row>
    <row r="7" spans="1:6">
      <c r="A7" s="133">
        <f>A6+1</f>
        <v>101</v>
      </c>
      <c r="B7" t="s">
        <v>1797</v>
      </c>
      <c r="C7" s="51">
        <v>8.8400000000000006E-2</v>
      </c>
      <c r="D7" t="s">
        <v>1798</v>
      </c>
      <c r="E7" s="415"/>
      <c r="F7" s="133">
        <f>A7</f>
        <v>101</v>
      </c>
    </row>
    <row r="8" spans="1:6" ht="30.75" customHeight="1">
      <c r="A8" s="133">
        <v>102</v>
      </c>
      <c r="B8" t="s">
        <v>1799</v>
      </c>
      <c r="C8" s="41">
        <f>-C6*C7</f>
        <v>-1.8564000000000001E-2</v>
      </c>
      <c r="D8" s="45" t="s">
        <v>1800</v>
      </c>
      <c r="E8" s="308" t="s">
        <v>1801</v>
      </c>
      <c r="F8" s="133">
        <v>102</v>
      </c>
    </row>
    <row r="9" spans="1:6">
      <c r="A9" s="133">
        <v>103</v>
      </c>
      <c r="B9" s="12" t="s">
        <v>1802</v>
      </c>
      <c r="C9" s="536">
        <f>SUM(C6:C8)</f>
        <v>0.27983599999999997</v>
      </c>
      <c r="D9" t="s">
        <v>1803</v>
      </c>
      <c r="F9" s="133">
        <v>103</v>
      </c>
    </row>
    <row r="10" spans="1:6">
      <c r="A10" s="133"/>
      <c r="B10" s="12"/>
      <c r="C10" s="372"/>
      <c r="F10" s="133"/>
    </row>
    <row r="11" spans="1:6">
      <c r="A11" s="133"/>
      <c r="B11" s="58" t="s">
        <v>1804</v>
      </c>
      <c r="C11" s="55"/>
      <c r="D11" s="55"/>
      <c r="E11" s="55"/>
    </row>
    <row r="12" spans="1:6">
      <c r="A12" s="13" t="s">
        <v>100</v>
      </c>
      <c r="B12" s="13" t="s">
        <v>6</v>
      </c>
      <c r="C12" s="13" t="s">
        <v>1328</v>
      </c>
      <c r="D12" s="13" t="s">
        <v>594</v>
      </c>
      <c r="E12" s="13" t="s">
        <v>136</v>
      </c>
      <c r="F12" s="13" t="str">
        <f>A12</f>
        <v>Line</v>
      </c>
    </row>
    <row r="13" spans="1:6">
      <c r="A13" s="133">
        <v>200</v>
      </c>
      <c r="B13" t="s">
        <v>239</v>
      </c>
      <c r="C13" s="51">
        <v>0.21</v>
      </c>
      <c r="D13" s="6" t="s">
        <v>1796</v>
      </c>
      <c r="E13" s="415"/>
      <c r="F13" s="133">
        <f>A13</f>
        <v>200</v>
      </c>
    </row>
    <row r="14" spans="1:6">
      <c r="A14" s="133">
        <f>A13+1</f>
        <v>201</v>
      </c>
      <c r="B14" t="s">
        <v>1797</v>
      </c>
      <c r="C14" s="51">
        <v>8.8400000000000006E-2</v>
      </c>
      <c r="D14" t="s">
        <v>1798</v>
      </c>
      <c r="E14" s="415"/>
      <c r="F14" s="133">
        <f>A14</f>
        <v>201</v>
      </c>
    </row>
    <row r="15" spans="1:6" ht="29">
      <c r="A15" s="133">
        <f>A14+1</f>
        <v>202</v>
      </c>
      <c r="B15" t="s">
        <v>1799</v>
      </c>
      <c r="C15" s="41">
        <f>-C13*C14</f>
        <v>-1.8564000000000001E-2</v>
      </c>
      <c r="D15" s="45" t="s">
        <v>1800</v>
      </c>
      <c r="E15" s="308" t="s">
        <v>1801</v>
      </c>
      <c r="F15" s="133">
        <f>A15</f>
        <v>202</v>
      </c>
    </row>
    <row r="16" spans="1:6">
      <c r="A16" s="133">
        <f>A15+1</f>
        <v>203</v>
      </c>
      <c r="B16" s="12" t="s">
        <v>1802</v>
      </c>
      <c r="C16" s="536">
        <f>SUM(C13:C15)</f>
        <v>0.27983599999999997</v>
      </c>
      <c r="D16" t="s">
        <v>1803</v>
      </c>
      <c r="F16" s="133">
        <f>A16</f>
        <v>203</v>
      </c>
    </row>
    <row r="25" spans="4:4">
      <c r="D25" s="17"/>
    </row>
    <row r="144" spans="11:11">
      <c r="K144" t="e">
        <f>E30/E144*E151</f>
        <v>#DIV/0!</v>
      </c>
    </row>
    <row r="160" spans="10:10">
      <c r="J160">
        <f>E160-D160</f>
        <v>0</v>
      </c>
    </row>
  </sheetData>
  <printOptions horizontalCentered="1"/>
  <pageMargins left="1" right="1" top="1" bottom="1" header="0.5" footer="0.5"/>
  <pageSetup scale="77"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K160"/>
  <sheetViews>
    <sheetView tabSelected="1" view="pageBreakPreview" zoomScale="85" zoomScaleNormal="85" zoomScaleSheetLayoutView="85" zoomScalePageLayoutView="70" workbookViewId="0">
      <selection activeCell="E174" sqref="E174"/>
    </sheetView>
  </sheetViews>
  <sheetFormatPr defaultColWidth="9.1796875" defaultRowHeight="14.5"/>
  <cols>
    <col min="1" max="1" width="4.54296875" bestFit="1" customWidth="1"/>
    <col min="2" max="2" width="43" customWidth="1"/>
    <col min="3" max="3" width="14.81640625" bestFit="1" customWidth="1"/>
    <col min="4" max="5" width="12.7265625" customWidth="1"/>
    <col min="6" max="6" width="40.54296875" customWidth="1"/>
    <col min="7" max="7" width="15.1796875" bestFit="1" customWidth="1"/>
    <col min="8" max="9" width="17.453125" customWidth="1"/>
    <col min="10" max="10" width="13.453125" customWidth="1"/>
    <col min="11" max="11" width="25.1796875" customWidth="1"/>
  </cols>
  <sheetData>
    <row r="1" spans="1:11">
      <c r="A1" s="8"/>
      <c r="B1" s="14" t="s">
        <v>61</v>
      </c>
      <c r="E1" s="15"/>
      <c r="J1" s="15" t="str">
        <f>CONCATENATE("Prior Year: ",'1-BaseTRR'!$G$2)</f>
        <v>Prior Year: 2021</v>
      </c>
    </row>
    <row r="2" spans="1:11">
      <c r="A2" s="8"/>
      <c r="B2" s="119" t="s">
        <v>131</v>
      </c>
      <c r="E2" s="15"/>
      <c r="I2" s="15"/>
    </row>
    <row r="3" spans="1:11">
      <c r="A3" s="14"/>
    </row>
    <row r="4" spans="1:11">
      <c r="A4" s="8"/>
      <c r="B4" s="53" t="s">
        <v>1805</v>
      </c>
      <c r="C4" s="54"/>
      <c r="D4" s="55"/>
      <c r="E4" s="55"/>
      <c r="F4" s="55"/>
      <c r="G4" s="55"/>
      <c r="H4" s="55"/>
      <c r="I4" s="55"/>
      <c r="J4" s="55"/>
    </row>
    <row r="5" spans="1:11">
      <c r="A5" s="8"/>
      <c r="B5" s="124" t="s">
        <v>371</v>
      </c>
      <c r="C5" s="124" t="s">
        <v>372</v>
      </c>
      <c r="D5" s="124" t="s">
        <v>373</v>
      </c>
      <c r="E5" s="124" t="s">
        <v>374</v>
      </c>
      <c r="F5" s="124" t="s">
        <v>375</v>
      </c>
      <c r="G5" s="124" t="s">
        <v>376</v>
      </c>
    </row>
    <row r="6" spans="1:11" ht="58">
      <c r="A6" s="13" t="s">
        <v>100</v>
      </c>
      <c r="B6" s="13" t="s">
        <v>6</v>
      </c>
      <c r="D6" s="169" t="s">
        <v>1806</v>
      </c>
      <c r="E6" s="169" t="s">
        <v>1807</v>
      </c>
      <c r="F6" s="13" t="s">
        <v>135</v>
      </c>
      <c r="G6" s="13" t="s">
        <v>136</v>
      </c>
      <c r="K6" s="13" t="str">
        <f>A6</f>
        <v>Line</v>
      </c>
    </row>
    <row r="7" spans="1:11">
      <c r="A7" s="133">
        <v>100</v>
      </c>
      <c r="B7" s="14" t="s">
        <v>1808</v>
      </c>
      <c r="C7" s="14"/>
      <c r="D7" s="445">
        <v>22661819</v>
      </c>
      <c r="E7" s="445">
        <v>22661819</v>
      </c>
      <c r="F7" t="s">
        <v>1809</v>
      </c>
      <c r="G7" t="s">
        <v>111</v>
      </c>
      <c r="K7" s="133">
        <f>A7</f>
        <v>100</v>
      </c>
    </row>
    <row r="8" spans="1:11" ht="15" thickBot="1">
      <c r="A8" s="133">
        <f>A7+1</f>
        <v>101</v>
      </c>
      <c r="B8" s="14" t="s">
        <v>1810</v>
      </c>
      <c r="E8" s="445">
        <v>24539256</v>
      </c>
      <c r="F8" t="s">
        <v>1809</v>
      </c>
      <c r="G8" s="243" t="s">
        <v>203</v>
      </c>
      <c r="K8" s="133">
        <f>A8</f>
        <v>101</v>
      </c>
    </row>
    <row r="9" spans="1:11" ht="15" thickBot="1">
      <c r="A9" s="133">
        <f>A8+1</f>
        <v>102</v>
      </c>
      <c r="B9" s="14" t="s">
        <v>1811</v>
      </c>
      <c r="D9" s="559"/>
      <c r="E9" s="565">
        <f>+J60</f>
        <v>23669548.312100459</v>
      </c>
      <c r="F9" s="6" t="str">
        <f>CONCATENATE("Line ",A60,", ","col 9")</f>
        <v>Line 414, col 9</v>
      </c>
      <c r="G9" s="243"/>
      <c r="K9" s="133">
        <f>A9</f>
        <v>102</v>
      </c>
    </row>
    <row r="10" spans="1:11">
      <c r="A10" s="133"/>
      <c r="B10" s="14"/>
      <c r="C10" s="14"/>
      <c r="D10" s="32"/>
      <c r="E10" s="32"/>
      <c r="K10" s="133"/>
    </row>
    <row r="11" spans="1:11">
      <c r="A11" s="133"/>
      <c r="B11" s="53" t="s">
        <v>1812</v>
      </c>
      <c r="C11" s="55"/>
      <c r="D11" s="55"/>
      <c r="E11" s="55"/>
      <c r="F11" s="55"/>
      <c r="G11" s="55"/>
      <c r="H11" s="55"/>
      <c r="I11" s="55"/>
      <c r="J11" s="55"/>
      <c r="K11" s="133"/>
    </row>
    <row r="12" spans="1:11">
      <c r="A12" s="13" t="s">
        <v>100</v>
      </c>
      <c r="B12" s="13" t="s">
        <v>6</v>
      </c>
      <c r="D12" s="13"/>
      <c r="E12" s="13"/>
      <c r="F12" s="13" t="s">
        <v>135</v>
      </c>
      <c r="G12" s="13" t="s">
        <v>136</v>
      </c>
      <c r="K12" s="13" t="str">
        <f>A12</f>
        <v>Line</v>
      </c>
    </row>
    <row r="13" spans="1:11">
      <c r="A13" s="133">
        <v>200</v>
      </c>
      <c r="B13" t="s">
        <v>239</v>
      </c>
      <c r="D13" s="31">
        <f>'22-TaxRates'!C6</f>
        <v>0.21</v>
      </c>
      <c r="E13" s="31">
        <f>'22-TaxRates'!C6</f>
        <v>0.21</v>
      </c>
      <c r="F13" t="s">
        <v>240</v>
      </c>
      <c r="K13" s="133">
        <f>A13</f>
        <v>200</v>
      </c>
    </row>
    <row r="14" spans="1:11">
      <c r="A14" s="133">
        <f>A13+1</f>
        <v>201</v>
      </c>
      <c r="B14" t="s">
        <v>241</v>
      </c>
      <c r="D14" s="34">
        <f>'22-TaxRates'!C7</f>
        <v>8.8400000000000006E-2</v>
      </c>
      <c r="E14" s="34">
        <f>'22-TaxRates'!C7</f>
        <v>8.8400000000000006E-2</v>
      </c>
      <c r="F14" t="s">
        <v>242</v>
      </c>
      <c r="K14" s="133">
        <f>A14</f>
        <v>201</v>
      </c>
    </row>
    <row r="15" spans="1:11">
      <c r="A15" s="133">
        <f>A14+1</f>
        <v>202</v>
      </c>
      <c r="B15" s="12" t="s">
        <v>243</v>
      </c>
      <c r="C15" s="12"/>
      <c r="D15" s="558">
        <f>(D13+D14)-(D13*D14)</f>
        <v>0.27983599999999997</v>
      </c>
      <c r="E15" s="558">
        <f>(E13+E14)-(E13*E14)</f>
        <v>0.27983599999999997</v>
      </c>
      <c r="F15" s="17" t="str">
        <f>"(Line "&amp;A13&amp;" + Line "&amp;A14&amp;") - (Line "&amp;A13&amp;" * Line "&amp;A14&amp;")"</f>
        <v>(Line 200 + Line 201) - (Line 200 * Line 201)</v>
      </c>
      <c r="K15" s="133">
        <f>A15</f>
        <v>202</v>
      </c>
    </row>
    <row r="16" spans="1:11">
      <c r="A16" s="133"/>
      <c r="K16" s="133"/>
    </row>
    <row r="17" spans="1:11">
      <c r="A17" s="133">
        <f>A15+1</f>
        <v>203</v>
      </c>
      <c r="B17" s="12" t="s">
        <v>255</v>
      </c>
      <c r="D17" s="368">
        <f>(((D22*D23)+D26)*(D24/(1-D24)))+D25/(1-D24)</f>
        <v>3067189.0414079702</v>
      </c>
      <c r="E17" s="368">
        <f>(((E22*E23)+E26)*(E24/(1-E24)))+E25/(1-E24)</f>
        <v>3087654.6859404305</v>
      </c>
      <c r="K17" s="133">
        <f>A17</f>
        <v>203</v>
      </c>
    </row>
    <row r="18" spans="1:11">
      <c r="A18" s="133"/>
      <c r="D18" s="17"/>
      <c r="E18" s="17"/>
      <c r="K18" s="133"/>
    </row>
    <row r="19" spans="1:11">
      <c r="A19" s="133"/>
      <c r="B19" t="s">
        <v>1813</v>
      </c>
      <c r="K19" s="133"/>
    </row>
    <row r="20" spans="1:11">
      <c r="A20" s="133"/>
      <c r="K20" s="133"/>
    </row>
    <row r="21" spans="1:11">
      <c r="A21" s="133"/>
      <c r="B21" t="s">
        <v>257</v>
      </c>
      <c r="K21" s="133"/>
    </row>
    <row r="22" spans="1:11">
      <c r="A22" s="133">
        <f>A17+1</f>
        <v>204</v>
      </c>
      <c r="B22" s="35" t="s">
        <v>258</v>
      </c>
      <c r="C22" s="35"/>
      <c r="D22" s="33">
        <f>D7</f>
        <v>22661819</v>
      </c>
      <c r="E22" s="33">
        <f>+E9</f>
        <v>23669548.312100459</v>
      </c>
      <c r="F22" s="6" t="str">
        <f>CONCATENATE("Line ",A7," or ",A9)</f>
        <v>Line 100 or 102</v>
      </c>
      <c r="K22" s="133">
        <f>A22</f>
        <v>204</v>
      </c>
    </row>
    <row r="23" spans="1:11">
      <c r="A23" s="133">
        <f>A22+1</f>
        <v>205</v>
      </c>
      <c r="B23" s="18" t="s">
        <v>259</v>
      </c>
      <c r="C23" s="18"/>
      <c r="D23" s="31">
        <f>D32+D33</f>
        <v>5.2264807947588816E-2</v>
      </c>
      <c r="E23" s="31">
        <f>D32+D33</f>
        <v>5.2264807947588816E-2</v>
      </c>
      <c r="F23" s="6" t="str">
        <f>CONCATENATE("Line ",A32," + ","Line ",A33)</f>
        <v>Line 301 + Line 302</v>
      </c>
      <c r="K23" s="133">
        <f>A23</f>
        <v>205</v>
      </c>
    </row>
    <row r="24" spans="1:11">
      <c r="A24" s="133">
        <f>A23+1</f>
        <v>206</v>
      </c>
      <c r="B24" s="35" t="s">
        <v>260</v>
      </c>
      <c r="C24" s="35"/>
      <c r="D24" s="28">
        <f>+D15</f>
        <v>0.27983599999999997</v>
      </c>
      <c r="E24" s="28">
        <f>+D15</f>
        <v>0.27983599999999997</v>
      </c>
      <c r="F24" s="6" t="str">
        <f>CONCATENATE("Line ",A15)</f>
        <v>Line 202</v>
      </c>
      <c r="K24" s="133">
        <f>A24</f>
        <v>206</v>
      </c>
    </row>
    <row r="25" spans="1:11">
      <c r="A25" s="133">
        <f>A24+1</f>
        <v>207</v>
      </c>
      <c r="B25" s="35" t="s">
        <v>261</v>
      </c>
      <c r="C25" s="35"/>
      <c r="D25" s="445">
        <v>1877437</v>
      </c>
      <c r="E25" s="445">
        <v>1877437</v>
      </c>
      <c r="F25" t="s">
        <v>1809</v>
      </c>
      <c r="G25" t="s">
        <v>251</v>
      </c>
      <c r="K25" s="133">
        <f>A25</f>
        <v>207</v>
      </c>
    </row>
    <row r="26" spans="1:11">
      <c r="A26" s="133">
        <f>A25+1</f>
        <v>208</v>
      </c>
      <c r="B26" s="35" t="s">
        <v>262</v>
      </c>
      <c r="C26" s="35"/>
      <c r="D26" s="160">
        <v>0</v>
      </c>
      <c r="E26" s="160">
        <v>0</v>
      </c>
      <c r="K26" s="133">
        <f>A26</f>
        <v>208</v>
      </c>
    </row>
    <row r="27" spans="1:11">
      <c r="A27" s="133"/>
      <c r="B27" s="35"/>
      <c r="C27" s="35"/>
      <c r="D27" s="160"/>
      <c r="E27" s="160"/>
      <c r="K27" s="133"/>
    </row>
    <row r="28" spans="1:11">
      <c r="A28" s="133"/>
      <c r="B28" s="53" t="s">
        <v>1814</v>
      </c>
      <c r="C28" s="55"/>
      <c r="D28" s="55"/>
      <c r="E28" s="55"/>
      <c r="F28" s="55"/>
      <c r="G28" s="55"/>
      <c r="H28" s="55"/>
      <c r="I28" s="55"/>
      <c r="J28" s="55"/>
      <c r="K28" s="133"/>
    </row>
    <row r="29" spans="1:11" ht="43.5">
      <c r="A29" s="13" t="s">
        <v>100</v>
      </c>
      <c r="B29" s="13" t="s">
        <v>6</v>
      </c>
      <c r="D29" s="169" t="s">
        <v>1815</v>
      </c>
      <c r="E29" s="169" t="s">
        <v>1816</v>
      </c>
      <c r="F29" s="13" t="s">
        <v>135</v>
      </c>
      <c r="G29" s="13" t="s">
        <v>136</v>
      </c>
      <c r="K29" s="13" t="str">
        <f>A29</f>
        <v>Line</v>
      </c>
    </row>
    <row r="30" spans="1:11">
      <c r="A30" s="133"/>
      <c r="B30" s="11" t="s">
        <v>204</v>
      </c>
      <c r="C30" s="11"/>
      <c r="K30" s="133"/>
    </row>
    <row r="31" spans="1:11">
      <c r="A31" s="133">
        <v>300</v>
      </c>
      <c r="B31" t="s">
        <v>205</v>
      </c>
      <c r="D31" s="28">
        <f>'1-BaseTRR'!E63</f>
        <v>1.7561749999999998E-2</v>
      </c>
      <c r="E31" s="28">
        <f>'1-BaseTRR'!E63</f>
        <v>1.7561749999999998E-2</v>
      </c>
      <c r="F31" t="s">
        <v>1817</v>
      </c>
      <c r="K31" s="133">
        <f>A31</f>
        <v>300</v>
      </c>
    </row>
    <row r="32" spans="1:11">
      <c r="A32" s="133">
        <f>A31+1</f>
        <v>301</v>
      </c>
      <c r="B32" t="s">
        <v>206</v>
      </c>
      <c r="D32" s="28">
        <f>'1-BaseTRR'!E64</f>
        <v>2.7605794758881429E-4</v>
      </c>
      <c r="E32" s="28">
        <f>'1-BaseTRR'!E64</f>
        <v>2.7605794758881429E-4</v>
      </c>
      <c r="F32" t="s">
        <v>1818</v>
      </c>
      <c r="K32" s="133">
        <f>A32</f>
        <v>301</v>
      </c>
    </row>
    <row r="33" spans="1:11">
      <c r="A33" s="133">
        <f>A32+1</f>
        <v>302</v>
      </c>
      <c r="B33" t="s">
        <v>207</v>
      </c>
      <c r="D33" s="34">
        <f>'1-BaseTRR'!E65</f>
        <v>5.198875E-2</v>
      </c>
      <c r="E33" s="34">
        <f>'1-BaseTRR'!E65</f>
        <v>5.198875E-2</v>
      </c>
      <c r="F33" t="s">
        <v>1819</v>
      </c>
      <c r="K33" s="133">
        <f>A33</f>
        <v>302</v>
      </c>
    </row>
    <row r="34" spans="1:11">
      <c r="A34" s="133">
        <f>A33+1</f>
        <v>303</v>
      </c>
      <c r="B34" s="12" t="s">
        <v>208</v>
      </c>
      <c r="C34" s="12"/>
      <c r="D34" s="31">
        <f>SUM(D31:D33)</f>
        <v>6.982655794758881E-2</v>
      </c>
      <c r="E34" s="31">
        <f>SUM(E31:E33)</f>
        <v>6.982655794758881E-2</v>
      </c>
      <c r="F34" s="6" t="str">
        <f>"Sum of Lines "&amp;A31&amp;" to "&amp;A33&amp;""</f>
        <v>Sum of Lines 300 to 302</v>
      </c>
      <c r="K34" s="133">
        <f>A34</f>
        <v>303</v>
      </c>
    </row>
    <row r="35" spans="1:11">
      <c r="A35" s="133"/>
      <c r="K35" s="133"/>
    </row>
    <row r="36" spans="1:11">
      <c r="A36" s="133">
        <f>A34+1</f>
        <v>304</v>
      </c>
      <c r="B36" s="12" t="s">
        <v>211</v>
      </c>
      <c r="C36" s="12"/>
      <c r="D36" s="368">
        <f>+D7*D34</f>
        <v>1582396.8176012691</v>
      </c>
      <c r="E36" s="368">
        <f>+E9*E34</f>
        <v>1652763.0868081355</v>
      </c>
      <c r="F36" t="str">
        <f>CONCATENATE("Line ",A7," or ",A9," * ","Line ",A34)</f>
        <v>Line 100 or 102 * Line 303</v>
      </c>
      <c r="K36" s="133">
        <f>A36</f>
        <v>304</v>
      </c>
    </row>
    <row r="37" spans="1:11">
      <c r="A37" s="133"/>
      <c r="H37" s="288"/>
      <c r="I37" s="18"/>
      <c r="K37" s="133"/>
    </row>
    <row r="38" spans="1:11" ht="15" thickBot="1">
      <c r="A38" s="133">
        <f>A36+1</f>
        <v>305</v>
      </c>
      <c r="B38" s="12" t="s">
        <v>1820</v>
      </c>
      <c r="D38" s="367">
        <f>+D17+D36</f>
        <v>4649585.8590092398</v>
      </c>
      <c r="E38" s="367">
        <f>+E17+E36</f>
        <v>4740417.7727485662</v>
      </c>
      <c r="F38" s="6" t="str">
        <f>CONCATENATE("Line ",A36," + ","Line ",A17)</f>
        <v>Line 304 + Line 203</v>
      </c>
      <c r="H38" s="288"/>
      <c r="I38" s="18"/>
      <c r="K38" s="133">
        <f>A38</f>
        <v>305</v>
      </c>
    </row>
    <row r="39" spans="1:11" ht="15" thickTop="1">
      <c r="A39" s="133"/>
      <c r="E39" s="33"/>
      <c r="H39" s="310"/>
      <c r="I39" s="311"/>
      <c r="J39" s="133"/>
    </row>
    <row r="40" spans="1:11">
      <c r="A40" s="133"/>
      <c r="B40" s="120" t="s">
        <v>1821</v>
      </c>
      <c r="C40" s="181"/>
      <c r="D40" s="303"/>
      <c r="E40" s="303"/>
      <c r="F40" s="298"/>
      <c r="G40" s="298"/>
      <c r="H40" s="366"/>
      <c r="I40" s="365"/>
      <c r="J40" s="365"/>
    </row>
    <row r="41" spans="1:11">
      <c r="A41" s="133"/>
      <c r="B41" s="124" t="s">
        <v>371</v>
      </c>
      <c r="C41" s="124" t="s">
        <v>372</v>
      </c>
      <c r="D41" s="124" t="s">
        <v>373</v>
      </c>
      <c r="E41" s="124" t="s">
        <v>374</v>
      </c>
      <c r="F41" s="124" t="s">
        <v>375</v>
      </c>
      <c r="G41" s="124" t="s">
        <v>376</v>
      </c>
      <c r="H41" s="124" t="s">
        <v>377</v>
      </c>
      <c r="I41" s="124" t="s">
        <v>378</v>
      </c>
      <c r="J41" s="121" t="s">
        <v>409</v>
      </c>
      <c r="K41" s="133"/>
    </row>
    <row r="42" spans="1:11" ht="30" customHeight="1">
      <c r="A42" s="133"/>
      <c r="B42" s="177"/>
      <c r="C42" s="177"/>
      <c r="D42" s="364" t="s">
        <v>1822</v>
      </c>
      <c r="E42" s="364" t="s">
        <v>1823</v>
      </c>
      <c r="F42" s="288"/>
      <c r="G42" s="288"/>
      <c r="H42" s="305" t="s">
        <v>1824</v>
      </c>
      <c r="I42" s="306" t="s">
        <v>1825</v>
      </c>
      <c r="J42" s="363" t="s">
        <v>1826</v>
      </c>
      <c r="K42" s="133"/>
    </row>
    <row r="43" spans="1:11">
      <c r="A43" s="133"/>
      <c r="B43" s="177"/>
      <c r="C43" s="177"/>
      <c r="D43" s="293"/>
      <c r="E43" s="293"/>
      <c r="F43" s="288"/>
      <c r="G43" s="288"/>
      <c r="H43" s="288"/>
      <c r="I43" s="18"/>
      <c r="J43" s="17"/>
      <c r="K43" s="133"/>
    </row>
    <row r="44" spans="1:11">
      <c r="A44" s="133"/>
      <c r="B44" s="184"/>
      <c r="C44" s="184"/>
      <c r="D44" s="305" t="s">
        <v>1184</v>
      </c>
      <c r="E44" s="305" t="s">
        <v>1185</v>
      </c>
      <c r="F44" s="305"/>
      <c r="G44" s="305" t="s">
        <v>1186</v>
      </c>
      <c r="H44" s="305" t="s">
        <v>1187</v>
      </c>
      <c r="I44" s="133" t="s">
        <v>1188</v>
      </c>
      <c r="J44" s="133" t="s">
        <v>1189</v>
      </c>
      <c r="K44" s="133"/>
    </row>
    <row r="45" spans="1:11">
      <c r="A45" s="13" t="s">
        <v>100</v>
      </c>
      <c r="B45" s="184" t="s">
        <v>1190</v>
      </c>
      <c r="C45" s="184" t="s">
        <v>420</v>
      </c>
      <c r="D45" s="307" t="s">
        <v>1191</v>
      </c>
      <c r="E45" s="307" t="s">
        <v>1192</v>
      </c>
      <c r="F45" s="307" t="s">
        <v>1193</v>
      </c>
      <c r="G45" s="307" t="s">
        <v>1194</v>
      </c>
      <c r="H45" s="307" t="s">
        <v>1195</v>
      </c>
      <c r="I45" s="121" t="s">
        <v>1196</v>
      </c>
      <c r="J45" s="121" t="s">
        <v>1197</v>
      </c>
      <c r="K45" s="13" t="str">
        <f t="shared" ref="K45:K60" si="0">A45</f>
        <v>Line</v>
      </c>
    </row>
    <row r="46" spans="1:11">
      <c r="A46" s="133">
        <v>400</v>
      </c>
      <c r="B46" s="308" t="s">
        <v>1827</v>
      </c>
      <c r="C46" s="308"/>
      <c r="D46" s="309"/>
      <c r="E46" s="211">
        <f>+E8</f>
        <v>24539256</v>
      </c>
      <c r="F46" s="288"/>
      <c r="G46" s="45">
        <f>+G47+F47-G58</f>
        <v>365</v>
      </c>
      <c r="H46" s="310">
        <f>1</f>
        <v>1</v>
      </c>
      <c r="I46" s="311"/>
      <c r="J46" s="426">
        <f>+E46</f>
        <v>24539256</v>
      </c>
      <c r="K46" s="133">
        <f t="shared" si="0"/>
        <v>400</v>
      </c>
    </row>
    <row r="47" spans="1:11">
      <c r="A47" s="133">
        <f t="shared" ref="A47:A60" si="1">A46+1</f>
        <v>401</v>
      </c>
      <c r="B47" s="308" t="s">
        <v>430</v>
      </c>
      <c r="C47" s="152">
        <f>'1-BaseTRR'!$G$2</f>
        <v>2021</v>
      </c>
      <c r="D47" s="211">
        <f t="shared" ref="D47:D58" si="2">($D$7-$E$8)/12</f>
        <v>-156453.08333333334</v>
      </c>
      <c r="E47" s="211">
        <f t="shared" ref="E47:E58" si="3">E46+D47</f>
        <v>24382802.916666668</v>
      </c>
      <c r="F47" s="45">
        <v>31</v>
      </c>
      <c r="G47" s="45">
        <f t="shared" ref="G47:G56" si="4">+G48+F48</f>
        <v>335</v>
      </c>
      <c r="H47" s="310">
        <f>G47/G46</f>
        <v>0.9178082191780822</v>
      </c>
      <c r="I47" s="443">
        <f t="shared" ref="I47:I58" si="5">D47*H47</f>
        <v>-143593.92579908678</v>
      </c>
      <c r="J47" s="33">
        <f t="shared" ref="J47:J58" si="6">J46+I47</f>
        <v>24395662.074200913</v>
      </c>
      <c r="K47" s="133">
        <f t="shared" si="0"/>
        <v>401</v>
      </c>
    </row>
    <row r="48" spans="1:11">
      <c r="A48" s="133">
        <f t="shared" si="1"/>
        <v>402</v>
      </c>
      <c r="B48" s="308" t="s">
        <v>431</v>
      </c>
      <c r="C48" s="152">
        <f>'1-BaseTRR'!$G$2</f>
        <v>2021</v>
      </c>
      <c r="D48" s="211">
        <f t="shared" si="2"/>
        <v>-156453.08333333334</v>
      </c>
      <c r="E48" s="211">
        <f t="shared" si="3"/>
        <v>24226349.833333336</v>
      </c>
      <c r="F48" s="313">
        <v>28</v>
      </c>
      <c r="G48" s="45">
        <f t="shared" si="4"/>
        <v>307</v>
      </c>
      <c r="H48" s="310">
        <f>G48/G46</f>
        <v>0.84109589041095889</v>
      </c>
      <c r="I48" s="443">
        <f t="shared" si="5"/>
        <v>-131592.04543378996</v>
      </c>
      <c r="J48" s="33">
        <f t="shared" si="6"/>
        <v>24264070.028767124</v>
      </c>
      <c r="K48" s="133">
        <f t="shared" si="0"/>
        <v>402</v>
      </c>
    </row>
    <row r="49" spans="1:11">
      <c r="A49" s="133">
        <f t="shared" si="1"/>
        <v>403</v>
      </c>
      <c r="B49" s="308" t="s">
        <v>432</v>
      </c>
      <c r="C49" s="152">
        <f>'1-BaseTRR'!$G$2</f>
        <v>2021</v>
      </c>
      <c r="D49" s="211">
        <f t="shared" si="2"/>
        <v>-156453.08333333334</v>
      </c>
      <c r="E49" s="211">
        <f t="shared" si="3"/>
        <v>24069896.750000004</v>
      </c>
      <c r="F49" s="45">
        <v>31</v>
      </c>
      <c r="G49" s="45">
        <f t="shared" si="4"/>
        <v>276</v>
      </c>
      <c r="H49" s="310">
        <f>G49/G46</f>
        <v>0.75616438356164384</v>
      </c>
      <c r="I49" s="443">
        <f t="shared" si="5"/>
        <v>-118304.2493150685</v>
      </c>
      <c r="J49" s="33">
        <f t="shared" si="6"/>
        <v>24145765.779452056</v>
      </c>
      <c r="K49" s="133">
        <f t="shared" si="0"/>
        <v>403</v>
      </c>
    </row>
    <row r="50" spans="1:11">
      <c r="A50" s="133">
        <f t="shared" si="1"/>
        <v>404</v>
      </c>
      <c r="B50" s="308" t="s">
        <v>433</v>
      </c>
      <c r="C50" s="152">
        <f>'1-BaseTRR'!$G$2</f>
        <v>2021</v>
      </c>
      <c r="D50" s="211">
        <f t="shared" si="2"/>
        <v>-156453.08333333334</v>
      </c>
      <c r="E50" s="211">
        <f t="shared" si="3"/>
        <v>23913443.666666672</v>
      </c>
      <c r="F50" s="45">
        <v>30</v>
      </c>
      <c r="G50" s="45">
        <f t="shared" si="4"/>
        <v>246</v>
      </c>
      <c r="H50" s="310">
        <f>G50/G46</f>
        <v>0.67397260273972603</v>
      </c>
      <c r="I50" s="443">
        <f t="shared" si="5"/>
        <v>-105445.09178082192</v>
      </c>
      <c r="J50" s="33">
        <f t="shared" si="6"/>
        <v>24040320.687671233</v>
      </c>
      <c r="K50" s="133">
        <f t="shared" si="0"/>
        <v>404</v>
      </c>
    </row>
    <row r="51" spans="1:11">
      <c r="A51" s="133">
        <f t="shared" si="1"/>
        <v>405</v>
      </c>
      <c r="B51" s="308" t="s">
        <v>395</v>
      </c>
      <c r="C51" s="152">
        <f>'1-BaseTRR'!$G$2</f>
        <v>2021</v>
      </c>
      <c r="D51" s="211">
        <f t="shared" si="2"/>
        <v>-156453.08333333334</v>
      </c>
      <c r="E51" s="211">
        <f t="shared" si="3"/>
        <v>23756990.58333334</v>
      </c>
      <c r="F51" s="45">
        <v>31</v>
      </c>
      <c r="G51" s="45">
        <f t="shared" si="4"/>
        <v>215</v>
      </c>
      <c r="H51" s="310">
        <f>G51/G46</f>
        <v>0.58904109589041098</v>
      </c>
      <c r="I51" s="443">
        <f t="shared" si="5"/>
        <v>-92157.295662100471</v>
      </c>
      <c r="J51" s="33">
        <f t="shared" si="6"/>
        <v>23948163.392009132</v>
      </c>
      <c r="K51" s="133">
        <f t="shared" si="0"/>
        <v>405</v>
      </c>
    </row>
    <row r="52" spans="1:11">
      <c r="A52" s="133">
        <f t="shared" si="1"/>
        <v>406</v>
      </c>
      <c r="B52" s="308" t="s">
        <v>531</v>
      </c>
      <c r="C52" s="152">
        <f>'1-BaseTRR'!$G$2</f>
        <v>2021</v>
      </c>
      <c r="D52" s="211">
        <f t="shared" si="2"/>
        <v>-156453.08333333334</v>
      </c>
      <c r="E52" s="211">
        <f t="shared" si="3"/>
        <v>23600537.500000007</v>
      </c>
      <c r="F52" s="45">
        <v>30</v>
      </c>
      <c r="G52" s="45">
        <f t="shared" si="4"/>
        <v>185</v>
      </c>
      <c r="H52" s="310">
        <f>G52/G46</f>
        <v>0.50684931506849318</v>
      </c>
      <c r="I52" s="443">
        <f t="shared" si="5"/>
        <v>-79298.13812785389</v>
      </c>
      <c r="J52" s="33">
        <f t="shared" si="6"/>
        <v>23868865.253881279</v>
      </c>
      <c r="K52" s="133">
        <f t="shared" si="0"/>
        <v>406</v>
      </c>
    </row>
    <row r="53" spans="1:11">
      <c r="A53" s="133">
        <f t="shared" si="1"/>
        <v>407</v>
      </c>
      <c r="B53" s="308" t="s">
        <v>435</v>
      </c>
      <c r="C53" s="152">
        <f>'1-BaseTRR'!$G$2</f>
        <v>2021</v>
      </c>
      <c r="D53" s="211">
        <f t="shared" si="2"/>
        <v>-156453.08333333334</v>
      </c>
      <c r="E53" s="211">
        <f t="shared" si="3"/>
        <v>23444084.416666675</v>
      </c>
      <c r="F53" s="45">
        <v>31</v>
      </c>
      <c r="G53" s="45">
        <f t="shared" si="4"/>
        <v>154</v>
      </c>
      <c r="H53" s="310">
        <f>G53/G46</f>
        <v>0.42191780821917807</v>
      </c>
      <c r="I53" s="443">
        <f t="shared" si="5"/>
        <v>-66010.342009132422</v>
      </c>
      <c r="J53" s="33">
        <f t="shared" si="6"/>
        <v>23802854.911872149</v>
      </c>
      <c r="K53" s="133">
        <f t="shared" si="0"/>
        <v>407</v>
      </c>
    </row>
    <row r="54" spans="1:11">
      <c r="A54" s="133">
        <f t="shared" si="1"/>
        <v>408</v>
      </c>
      <c r="B54" s="308" t="s">
        <v>436</v>
      </c>
      <c r="C54" s="152">
        <f>'1-BaseTRR'!$G$2</f>
        <v>2021</v>
      </c>
      <c r="D54" s="211">
        <f t="shared" si="2"/>
        <v>-156453.08333333334</v>
      </c>
      <c r="E54" s="211">
        <f t="shared" si="3"/>
        <v>23287631.333333343</v>
      </c>
      <c r="F54" s="45">
        <v>31</v>
      </c>
      <c r="G54" s="45">
        <f t="shared" si="4"/>
        <v>123</v>
      </c>
      <c r="H54" s="310">
        <f>G54/G46</f>
        <v>0.33698630136986302</v>
      </c>
      <c r="I54" s="443">
        <f t="shared" si="5"/>
        <v>-52722.545890410962</v>
      </c>
      <c r="J54" s="33">
        <f t="shared" si="6"/>
        <v>23750132.365981739</v>
      </c>
      <c r="K54" s="133">
        <f t="shared" si="0"/>
        <v>408</v>
      </c>
    </row>
    <row r="55" spans="1:11">
      <c r="A55" s="133">
        <f t="shared" si="1"/>
        <v>409</v>
      </c>
      <c r="B55" s="308" t="s">
        <v>437</v>
      </c>
      <c r="C55" s="152">
        <f>'1-BaseTRR'!$G$2</f>
        <v>2021</v>
      </c>
      <c r="D55" s="211">
        <f t="shared" si="2"/>
        <v>-156453.08333333334</v>
      </c>
      <c r="E55" s="211">
        <f t="shared" si="3"/>
        <v>23131178.250000011</v>
      </c>
      <c r="F55" s="45">
        <v>30</v>
      </c>
      <c r="G55" s="45">
        <f t="shared" si="4"/>
        <v>93</v>
      </c>
      <c r="H55" s="310">
        <f>G55/G46</f>
        <v>0.25479452054794521</v>
      </c>
      <c r="I55" s="443">
        <f t="shared" si="5"/>
        <v>-39863.388356164389</v>
      </c>
      <c r="J55" s="33">
        <f t="shared" si="6"/>
        <v>23710268.977625575</v>
      </c>
      <c r="K55" s="133">
        <f t="shared" si="0"/>
        <v>409</v>
      </c>
    </row>
    <row r="56" spans="1:11">
      <c r="A56" s="133">
        <f t="shared" si="1"/>
        <v>410</v>
      </c>
      <c r="B56" s="308" t="s">
        <v>438</v>
      </c>
      <c r="C56" s="152">
        <f>'1-BaseTRR'!$G$2</f>
        <v>2021</v>
      </c>
      <c r="D56" s="211">
        <f t="shared" si="2"/>
        <v>-156453.08333333334</v>
      </c>
      <c r="E56" s="211">
        <f t="shared" si="3"/>
        <v>22974725.166666679</v>
      </c>
      <c r="F56" s="45">
        <v>31</v>
      </c>
      <c r="G56" s="45">
        <f t="shared" si="4"/>
        <v>62</v>
      </c>
      <c r="H56" s="310">
        <f>G56/G46</f>
        <v>0.16986301369863013</v>
      </c>
      <c r="I56" s="443">
        <f t="shared" si="5"/>
        <v>-26575.592237442925</v>
      </c>
      <c r="J56" s="33">
        <f t="shared" si="6"/>
        <v>23683693.385388132</v>
      </c>
      <c r="K56" s="133">
        <f t="shared" si="0"/>
        <v>410</v>
      </c>
    </row>
    <row r="57" spans="1:11">
      <c r="A57" s="133">
        <f t="shared" si="1"/>
        <v>411</v>
      </c>
      <c r="B57" s="308" t="s">
        <v>439</v>
      </c>
      <c r="C57" s="152">
        <f>'1-BaseTRR'!$G$2</f>
        <v>2021</v>
      </c>
      <c r="D57" s="211">
        <f t="shared" si="2"/>
        <v>-156453.08333333334</v>
      </c>
      <c r="E57" s="211">
        <f t="shared" si="3"/>
        <v>22818272.083333347</v>
      </c>
      <c r="F57" s="45">
        <v>30</v>
      </c>
      <c r="G57" s="45">
        <f>+G58+F58</f>
        <v>32</v>
      </c>
      <c r="H57" s="310">
        <f>G57/G46</f>
        <v>8.7671232876712329E-2</v>
      </c>
      <c r="I57" s="443">
        <f t="shared" si="5"/>
        <v>-13716.434703196348</v>
      </c>
      <c r="J57" s="33">
        <f t="shared" si="6"/>
        <v>23669976.950684935</v>
      </c>
      <c r="K57" s="133">
        <f t="shared" si="0"/>
        <v>411</v>
      </c>
    </row>
    <row r="58" spans="1:11">
      <c r="A58" s="133">
        <f t="shared" si="1"/>
        <v>412</v>
      </c>
      <c r="B58" s="308" t="s">
        <v>428</v>
      </c>
      <c r="C58" s="152">
        <f>'1-BaseTRR'!$G$2</f>
        <v>2021</v>
      </c>
      <c r="D58" s="211">
        <f t="shared" si="2"/>
        <v>-156453.08333333334</v>
      </c>
      <c r="E58" s="211">
        <f t="shared" si="3"/>
        <v>22661819.000000015</v>
      </c>
      <c r="F58" s="45">
        <v>31</v>
      </c>
      <c r="G58" s="313">
        <v>1</v>
      </c>
      <c r="H58" s="310">
        <f>G58/G46</f>
        <v>2.7397260273972603E-3</v>
      </c>
      <c r="I58" s="443">
        <f t="shared" si="5"/>
        <v>-428.63858447488587</v>
      </c>
      <c r="J58" s="444">
        <f t="shared" si="6"/>
        <v>23669548.312100459</v>
      </c>
      <c r="K58" s="133">
        <f t="shared" si="0"/>
        <v>412</v>
      </c>
    </row>
    <row r="59" spans="1:11">
      <c r="A59" s="133">
        <f t="shared" si="1"/>
        <v>413</v>
      </c>
      <c r="B59" s="308" t="s">
        <v>1828</v>
      </c>
      <c r="C59" s="308"/>
      <c r="D59" s="312"/>
      <c r="E59" s="211">
        <f>+D7</f>
        <v>22661819</v>
      </c>
      <c r="F59" s="288"/>
      <c r="G59" s="288"/>
      <c r="H59" s="288"/>
      <c r="I59" s="18"/>
      <c r="J59" s="210"/>
      <c r="K59" s="133">
        <f t="shared" si="0"/>
        <v>413</v>
      </c>
    </row>
    <row r="60" spans="1:11">
      <c r="A60" s="133">
        <f t="shared" si="1"/>
        <v>414</v>
      </c>
      <c r="B60" s="177"/>
      <c r="C60" s="177"/>
      <c r="D60" s="293"/>
      <c r="E60" s="293"/>
      <c r="F60" s="288"/>
      <c r="G60" s="288"/>
      <c r="H60" s="288"/>
      <c r="I60" s="362" t="s">
        <v>1199</v>
      </c>
      <c r="J60" s="437">
        <f>+J58</f>
        <v>23669548.312100459</v>
      </c>
      <c r="K60" s="133">
        <f t="shared" si="0"/>
        <v>414</v>
      </c>
    </row>
    <row r="61" spans="1:11">
      <c r="A61" s="133"/>
      <c r="B61" s="177"/>
      <c r="C61" s="177"/>
      <c r="D61" s="293"/>
      <c r="E61" s="293"/>
      <c r="F61" s="288"/>
      <c r="G61" s="288"/>
      <c r="H61" s="288"/>
      <c r="I61" s="314"/>
      <c r="J61" s="209"/>
      <c r="K61" s="133"/>
    </row>
    <row r="62" spans="1:11">
      <c r="A62" s="133"/>
      <c r="C62" s="177"/>
      <c r="D62" s="361"/>
      <c r="E62" s="361"/>
      <c r="F62" s="287"/>
      <c r="G62" s="287"/>
      <c r="H62" s="360"/>
      <c r="I62" s="311"/>
      <c r="J62" s="133"/>
    </row>
    <row r="63" spans="1:11">
      <c r="B63" s="208" t="s">
        <v>306</v>
      </c>
    </row>
    <row r="64" spans="1:11">
      <c r="B64" t="s">
        <v>1829</v>
      </c>
    </row>
    <row r="65" spans="2:10">
      <c r="B65" t="s">
        <v>1830</v>
      </c>
    </row>
    <row r="66" spans="2:10">
      <c r="B66" t="s">
        <v>1831</v>
      </c>
    </row>
    <row r="67" spans="2:10">
      <c r="B67" s="841" t="s">
        <v>1832</v>
      </c>
      <c r="C67" s="841"/>
      <c r="D67" s="841"/>
      <c r="E67" s="841"/>
      <c r="F67" s="841"/>
      <c r="G67" s="841"/>
      <c r="H67" s="841"/>
      <c r="I67" s="841"/>
      <c r="J67" s="17"/>
    </row>
    <row r="68" spans="2:10">
      <c r="B68" s="841" t="s">
        <v>1833</v>
      </c>
      <c r="C68" s="841"/>
      <c r="D68" s="841"/>
      <c r="E68" s="841"/>
      <c r="F68" s="841"/>
      <c r="G68" s="841"/>
      <c r="H68" s="841"/>
      <c r="I68" s="841"/>
      <c r="J68" s="17"/>
    </row>
    <row r="144" spans="11:11">
      <c r="K144" t="e">
        <f>E30/E144*E151</f>
        <v>#DIV/0!</v>
      </c>
    </row>
    <row r="160" spans="10:10">
      <c r="J160">
        <f>E160-D160</f>
        <v>0</v>
      </c>
    </row>
  </sheetData>
  <protectedRanges>
    <protectedRange password="F1C4" sqref="B8:C9 D9:E9" name="AAReport1_23_1_1_2"/>
    <protectedRange password="F1C4" sqref="E8" name="AAReport1_23_1_1_1_1_1"/>
    <protectedRange password="F1C4" sqref="F9 F22:F24 F38" name="AAReport1_23_1_1_2_3"/>
  </protectedRanges>
  <mergeCells count="2">
    <mergeCell ref="B67:I67"/>
    <mergeCell ref="B68:I68"/>
  </mergeCells>
  <printOptions horizontalCentered="1"/>
  <pageMargins left="1" right="1" top="1" bottom="1" header="0.5" footer="0.5"/>
  <pageSetup scale="52"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K160"/>
  <sheetViews>
    <sheetView tabSelected="1" view="pageBreakPreview" topLeftCell="A21" zoomScale="90" zoomScaleNormal="85" zoomScaleSheetLayoutView="90" workbookViewId="0">
      <selection activeCell="E174" sqref="E174"/>
    </sheetView>
  </sheetViews>
  <sheetFormatPr defaultColWidth="9.1796875" defaultRowHeight="14.5"/>
  <cols>
    <col min="1" max="1" width="4.7265625" bestFit="1" customWidth="1"/>
    <col min="2" max="2" width="68.26953125" customWidth="1"/>
    <col min="3" max="3" width="18.81640625" customWidth="1"/>
    <col min="4" max="4" width="55.453125" bestFit="1" customWidth="1"/>
    <col min="5" max="5" width="19.1796875" bestFit="1" customWidth="1"/>
    <col min="6" max="6" width="4.7265625" bestFit="1" customWidth="1"/>
    <col min="7" max="7" width="19.1796875" bestFit="1" customWidth="1"/>
    <col min="8" max="8" width="13.81640625" bestFit="1" customWidth="1"/>
    <col min="9" max="9" width="10.1796875" bestFit="1" customWidth="1"/>
    <col min="10" max="10" width="13.453125" customWidth="1"/>
    <col min="11" max="11" width="25.1796875" customWidth="1"/>
  </cols>
  <sheetData>
    <row r="1" spans="1:6">
      <c r="B1" s="12" t="s">
        <v>63</v>
      </c>
      <c r="D1" s="15"/>
      <c r="E1" s="15" t="str">
        <f>CONCATENATE("Prior Year: ",'1-BaseTRR'!$G$2)</f>
        <v>Prior Year: 2021</v>
      </c>
    </row>
    <row r="2" spans="1:6">
      <c r="B2" s="119" t="s">
        <v>131</v>
      </c>
    </row>
    <row r="4" spans="1:6">
      <c r="A4" s="13" t="s">
        <v>100</v>
      </c>
      <c r="B4" s="13" t="s">
        <v>6</v>
      </c>
      <c r="C4" s="13" t="s">
        <v>1328</v>
      </c>
      <c r="D4" s="13" t="s">
        <v>594</v>
      </c>
      <c r="E4" s="13" t="s">
        <v>136</v>
      </c>
      <c r="F4" s="13" t="str">
        <f>A4</f>
        <v>Line</v>
      </c>
    </row>
    <row r="5" spans="1:6">
      <c r="B5" s="58" t="s">
        <v>1834</v>
      </c>
      <c r="C5" s="55"/>
      <c r="D5" s="55"/>
      <c r="E5" s="55"/>
    </row>
    <row r="6" spans="1:6">
      <c r="A6" s="8">
        <v>100</v>
      </c>
      <c r="B6" t="s">
        <v>1835</v>
      </c>
      <c r="C6" s="353">
        <v>2478234429</v>
      </c>
      <c r="D6" s="6" t="s">
        <v>1836</v>
      </c>
      <c r="F6" s="8">
        <f>A6</f>
        <v>100</v>
      </c>
    </row>
    <row r="7" spans="1:6">
      <c r="A7" s="8">
        <f>A6+1</f>
        <v>101</v>
      </c>
      <c r="B7" t="s">
        <v>1837</v>
      </c>
      <c r="C7" s="353">
        <v>-405958047</v>
      </c>
      <c r="D7" s="6" t="s">
        <v>1838</v>
      </c>
      <c r="F7" s="8">
        <f>A7</f>
        <v>101</v>
      </c>
    </row>
    <row r="8" spans="1:6">
      <c r="A8" s="8">
        <f>A7+1</f>
        <v>102</v>
      </c>
      <c r="B8" t="s">
        <v>1839</v>
      </c>
      <c r="C8" s="353">
        <v>-192530083</v>
      </c>
      <c r="D8" s="6" t="s">
        <v>1840</v>
      </c>
      <c r="F8" s="8">
        <f>A8</f>
        <v>102</v>
      </c>
    </row>
    <row r="9" spans="1:6">
      <c r="A9" s="8">
        <f>A8+1</f>
        <v>103</v>
      </c>
      <c r="B9" t="s">
        <v>1841</v>
      </c>
      <c r="C9" s="353">
        <v>-66197418</v>
      </c>
      <c r="D9" s="6" t="s">
        <v>1842</v>
      </c>
      <c r="F9" s="8">
        <f>A9</f>
        <v>103</v>
      </c>
    </row>
    <row r="10" spans="1:6">
      <c r="A10" s="8">
        <f>A9+1</f>
        <v>104</v>
      </c>
      <c r="B10" s="12" t="s">
        <v>1843</v>
      </c>
      <c r="C10" s="354">
        <f>C6+C7+C8+C9</f>
        <v>1813548881</v>
      </c>
      <c r="D10" s="2" t="s">
        <v>1844</v>
      </c>
      <c r="F10" s="8">
        <f>A10</f>
        <v>104</v>
      </c>
    </row>
    <row r="11" spans="1:6">
      <c r="A11" s="8"/>
      <c r="C11" s="33"/>
      <c r="D11" s="6"/>
      <c r="F11" s="8"/>
    </row>
    <row r="12" spans="1:6">
      <c r="A12" s="8">
        <f>A10+1</f>
        <v>105</v>
      </c>
      <c r="B12" t="s">
        <v>1845</v>
      </c>
      <c r="C12" s="353">
        <v>1736871956</v>
      </c>
      <c r="D12" s="6" t="s">
        <v>1846</v>
      </c>
      <c r="F12" s="8">
        <f>A12</f>
        <v>105</v>
      </c>
    </row>
    <row r="13" spans="1:6">
      <c r="A13" s="8">
        <f>A12+1</f>
        <v>106</v>
      </c>
      <c r="B13" t="s">
        <v>1847</v>
      </c>
      <c r="C13" s="33">
        <f>C7</f>
        <v>-405958047</v>
      </c>
      <c r="D13" s="2" t="str">
        <f>"Line "&amp;A7&amp;""</f>
        <v>Line 101</v>
      </c>
      <c r="F13" s="8">
        <f>A13</f>
        <v>106</v>
      </c>
    </row>
    <row r="14" spans="1:6">
      <c r="A14" s="8">
        <f>A13+1</f>
        <v>107</v>
      </c>
      <c r="B14" t="s">
        <v>1841</v>
      </c>
      <c r="C14" s="353">
        <v>-55900470</v>
      </c>
      <c r="D14" s="6" t="s">
        <v>1848</v>
      </c>
      <c r="F14" s="8">
        <f>A14</f>
        <v>107</v>
      </c>
    </row>
    <row r="15" spans="1:6">
      <c r="A15" s="8">
        <f>A14+1</f>
        <v>108</v>
      </c>
      <c r="B15" s="12" t="s">
        <v>1849</v>
      </c>
      <c r="C15" s="354">
        <f>C12+C13+C14</f>
        <v>1275013439</v>
      </c>
      <c r="D15" s="2" t="str">
        <f>"Line "&amp;A12&amp;" - Line "&amp;A13&amp;" + Line "&amp;A14&amp;""</f>
        <v>Line 105 - Line 106 + Line 107</v>
      </c>
      <c r="F15" s="8">
        <f>A15</f>
        <v>108</v>
      </c>
    </row>
    <row r="16" spans="1:6">
      <c r="A16" s="8"/>
      <c r="D16" s="6"/>
      <c r="F16" s="8"/>
    </row>
    <row r="17" spans="1:6">
      <c r="A17" s="8">
        <f>A15+1</f>
        <v>109</v>
      </c>
      <c r="B17" s="12" t="s">
        <v>1850</v>
      </c>
      <c r="C17" s="372">
        <f>C15/C10</f>
        <v>0.70304884106401977</v>
      </c>
      <c r="D17" s="2" t="str">
        <f>"Line "&amp;A15&amp;" / Line "&amp;A10&amp;""</f>
        <v>Line 108 / Line 104</v>
      </c>
      <c r="F17" s="8">
        <f>A17</f>
        <v>109</v>
      </c>
    </row>
    <row r="18" spans="1:6">
      <c r="F18" s="8"/>
    </row>
    <row r="19" spans="1:6">
      <c r="B19" s="58" t="s">
        <v>1851</v>
      </c>
      <c r="C19" s="55"/>
      <c r="D19" s="55"/>
      <c r="E19" s="55"/>
      <c r="F19" s="8"/>
    </row>
    <row r="20" spans="1:6">
      <c r="A20" s="8">
        <f>A17+1</f>
        <v>110</v>
      </c>
      <c r="B20" t="s">
        <v>1849</v>
      </c>
      <c r="C20" s="33">
        <f>C15</f>
        <v>1275013439</v>
      </c>
      <c r="D20" s="2" t="str">
        <f>"Line "&amp;A15&amp;""</f>
        <v>Line 108</v>
      </c>
      <c r="F20" s="8">
        <f>A20</f>
        <v>110</v>
      </c>
    </row>
    <row r="21" spans="1:6">
      <c r="A21" s="8">
        <f>A20+1</f>
        <v>111</v>
      </c>
      <c r="B21" t="s">
        <v>1852</v>
      </c>
      <c r="C21" s="33">
        <f>'18-OandM'!N10</f>
        <v>187300588.22888961</v>
      </c>
      <c r="D21" s="2" t="s">
        <v>1853</v>
      </c>
      <c r="F21" s="8">
        <f>A21</f>
        <v>111</v>
      </c>
    </row>
    <row r="22" spans="1:6">
      <c r="A22" s="8"/>
      <c r="D22" s="6"/>
      <c r="F22" s="8"/>
    </row>
    <row r="23" spans="1:6">
      <c r="A23" s="8">
        <f>A21+1</f>
        <v>112</v>
      </c>
      <c r="B23" s="12" t="s">
        <v>1854</v>
      </c>
      <c r="C23" s="372">
        <f>C21/C20</f>
        <v>0.14690087374748809</v>
      </c>
      <c r="D23" s="2" t="str">
        <f>"Line "&amp;A21&amp;" / Line "&amp;A20&amp;""</f>
        <v>Line 111 / Line 110</v>
      </c>
      <c r="F23" s="8">
        <f>A23</f>
        <v>112</v>
      </c>
    </row>
    <row r="24" spans="1:6">
      <c r="A24" s="8">
        <f>+A23+1</f>
        <v>113</v>
      </c>
      <c r="B24" s="12" t="s">
        <v>1855</v>
      </c>
      <c r="C24" s="369">
        <f>C21/C10</f>
        <v>0.10327848903946341</v>
      </c>
      <c r="D24" s="2" t="str">
        <f>"Line "&amp;A21&amp;" / Line "&amp;A10&amp;""</f>
        <v>Line 111 / Line 104</v>
      </c>
      <c r="F24" s="8">
        <f>A24</f>
        <v>113</v>
      </c>
    </row>
    <row r="25" spans="1:6">
      <c r="A25" s="8"/>
      <c r="B25" s="12"/>
      <c r="C25" s="369"/>
      <c r="F25" s="8"/>
    </row>
    <row r="26" spans="1:6">
      <c r="B26" s="58" t="s">
        <v>1856</v>
      </c>
      <c r="C26" s="55"/>
      <c r="D26" s="55"/>
      <c r="E26" s="55"/>
      <c r="F26" s="371"/>
    </row>
    <row r="27" spans="1:6">
      <c r="A27" s="8">
        <f>A24+1</f>
        <v>114</v>
      </c>
      <c r="B27" s="17" t="s">
        <v>1857</v>
      </c>
      <c r="C27" s="33">
        <f>+'7-PlantInService'!$P$24+'7-PlantInService'!$D$128</f>
        <v>16187514161.545101</v>
      </c>
      <c r="D27" s="219" t="s">
        <v>1858</v>
      </c>
      <c r="E27" s="413" t="s">
        <v>1859</v>
      </c>
      <c r="F27" s="8">
        <f>+A27</f>
        <v>114</v>
      </c>
    </row>
    <row r="28" spans="1:6">
      <c r="A28" s="8">
        <f>+A27+1</f>
        <v>115</v>
      </c>
      <c r="B28" s="17" t="s">
        <v>1860</v>
      </c>
      <c r="C28" s="353">
        <v>99289749127.290054</v>
      </c>
      <c r="D28" s="6" t="s">
        <v>1861</v>
      </c>
      <c r="E28" s="413" t="s">
        <v>1859</v>
      </c>
      <c r="F28" s="8">
        <f>+A28</f>
        <v>115</v>
      </c>
    </row>
    <row r="29" spans="1:6">
      <c r="A29" s="8">
        <f>+A28+1</f>
        <v>116</v>
      </c>
      <c r="B29" s="12" t="s">
        <v>1862</v>
      </c>
      <c r="C29" s="241">
        <f>+C27/C28</f>
        <v>0.16303308552822116</v>
      </c>
      <c r="D29" s="2" t="str">
        <f>"Line "&amp;A27&amp;" / Line "&amp;A28&amp;""</f>
        <v>Line 114 / Line 115</v>
      </c>
      <c r="F29" s="8">
        <f>+A29</f>
        <v>116</v>
      </c>
    </row>
    <row r="30" spans="1:6">
      <c r="A30" s="8"/>
      <c r="C30" s="29"/>
      <c r="D30" s="2"/>
      <c r="F30" s="8"/>
    </row>
    <row r="31" spans="1:6">
      <c r="A31" s="8">
        <f>+A29+1</f>
        <v>117</v>
      </c>
      <c r="B31" s="17" t="s">
        <v>1857</v>
      </c>
      <c r="C31" s="33">
        <f>+'7-PlantInService'!$P$24+'7-PlantInService'!$D$128</f>
        <v>16187514161.545101</v>
      </c>
      <c r="D31" s="219" t="s">
        <v>1858</v>
      </c>
      <c r="E31" s="413" t="s">
        <v>1859</v>
      </c>
      <c r="F31" s="8">
        <f>+A31</f>
        <v>117</v>
      </c>
    </row>
    <row r="32" spans="1:6">
      <c r="A32" s="8">
        <f>+A31+1</f>
        <v>118</v>
      </c>
      <c r="B32" s="17" t="s">
        <v>1863</v>
      </c>
      <c r="C32" s="353">
        <v>73805965045.283951</v>
      </c>
      <c r="D32" s="6" t="s">
        <v>1864</v>
      </c>
      <c r="E32" s="413" t="s">
        <v>1859</v>
      </c>
      <c r="F32" s="8">
        <f>+A32</f>
        <v>118</v>
      </c>
    </row>
    <row r="33" spans="1:8">
      <c r="A33" s="8">
        <f>+A32+1</f>
        <v>119</v>
      </c>
      <c r="B33" s="12" t="s">
        <v>1865</v>
      </c>
      <c r="C33" s="241">
        <f>+C31/C32</f>
        <v>0.21932528287670497</v>
      </c>
      <c r="D33" s="2" t="str">
        <f>"Line "&amp;A31&amp;" / Line "&amp;A32&amp;""</f>
        <v>Line 117 / Line 118</v>
      </c>
      <c r="F33" s="8">
        <f>+A33</f>
        <v>119</v>
      </c>
    </row>
    <row r="34" spans="1:8">
      <c r="A34" s="8"/>
      <c r="C34" s="29"/>
      <c r="D34" s="2"/>
      <c r="F34" s="8"/>
    </row>
    <row r="35" spans="1:8">
      <c r="A35" s="8">
        <f>+A33+1</f>
        <v>120</v>
      </c>
      <c r="B35" s="17" t="s">
        <v>1866</v>
      </c>
      <c r="C35" s="33">
        <f>'7-PlantInService'!$P$24</f>
        <v>14839705596</v>
      </c>
      <c r="D35" s="2" t="s">
        <v>139</v>
      </c>
      <c r="F35" s="8">
        <f>+A35</f>
        <v>120</v>
      </c>
    </row>
    <row r="36" spans="1:8">
      <c r="A36" s="8">
        <f>+A35+1</f>
        <v>121</v>
      </c>
      <c r="B36" s="17" t="s">
        <v>1867</v>
      </c>
      <c r="C36" s="33">
        <f>'6-PlantJurisdiction'!D24+'6-PlantJurisdiction'!F24</f>
        <v>15602603129.219994</v>
      </c>
      <c r="D36" s="2" t="s">
        <v>1868</v>
      </c>
      <c r="F36" s="8">
        <f>+A36</f>
        <v>121</v>
      </c>
    </row>
    <row r="37" spans="1:8">
      <c r="A37" s="8">
        <f>+A36+1</f>
        <v>122</v>
      </c>
      <c r="B37" s="144" t="s">
        <v>1869</v>
      </c>
      <c r="C37" s="241">
        <f>C35/C36</f>
        <v>0.951104471035909</v>
      </c>
      <c r="D37" s="2" t="str">
        <f>"Line "&amp;A35&amp;" / Line "&amp;A36&amp;""</f>
        <v>Line 120 / Line 121</v>
      </c>
      <c r="F37" s="8">
        <f>+A37</f>
        <v>122</v>
      </c>
    </row>
    <row r="38" spans="1:8">
      <c r="A38" s="8"/>
      <c r="C38" s="29"/>
      <c r="D38" s="17"/>
      <c r="F38" s="8"/>
    </row>
    <row r="39" spans="1:8">
      <c r="B39" s="120" t="s">
        <v>1870</v>
      </c>
      <c r="C39" s="55"/>
      <c r="D39" s="55"/>
      <c r="E39" s="55"/>
      <c r="F39" s="20"/>
    </row>
    <row r="40" spans="1:8">
      <c r="A40" s="8">
        <f>+A37+1</f>
        <v>123</v>
      </c>
      <c r="B40" s="17" t="s">
        <v>1866</v>
      </c>
      <c r="C40" s="33">
        <f>'7-PlantInService'!$P$24</f>
        <v>14839705596</v>
      </c>
      <c r="D40" s="2" t="s">
        <v>139</v>
      </c>
      <c r="E40" s="413" t="s">
        <v>1859</v>
      </c>
      <c r="F40" s="8">
        <f>+A40</f>
        <v>123</v>
      </c>
    </row>
    <row r="41" spans="1:8">
      <c r="A41" s="8">
        <f>+A40+1</f>
        <v>124</v>
      </c>
      <c r="B41" s="17" t="s">
        <v>715</v>
      </c>
      <c r="C41" s="33">
        <f>+'7-PlantInService'!P49</f>
        <v>5236281200</v>
      </c>
      <c r="D41" s="2" t="s">
        <v>1871</v>
      </c>
      <c r="E41" s="413" t="s">
        <v>1859</v>
      </c>
      <c r="F41" s="8">
        <f>+A41</f>
        <v>124</v>
      </c>
    </row>
    <row r="42" spans="1:8">
      <c r="A42" s="8">
        <f>+A41+1</f>
        <v>125</v>
      </c>
      <c r="B42" s="17" t="s">
        <v>716</v>
      </c>
      <c r="C42" s="33">
        <f>+'7-PlantInService'!P74</f>
        <v>9603424396</v>
      </c>
      <c r="D42" s="2" t="s">
        <v>1872</v>
      </c>
      <c r="E42" s="413" t="s">
        <v>1859</v>
      </c>
      <c r="F42" s="8">
        <f>+A42</f>
        <v>125</v>
      </c>
    </row>
    <row r="43" spans="1:8">
      <c r="A43" s="8">
        <f>+A42+1</f>
        <v>126</v>
      </c>
      <c r="B43" s="144" t="s">
        <v>1873</v>
      </c>
      <c r="C43" s="369">
        <f>+C41/C40</f>
        <v>0.3528561376184865</v>
      </c>
      <c r="D43" s="2" t="str">
        <f>"Line "&amp;A41&amp;" / Line "&amp;A40&amp;""</f>
        <v>Line 124 / Line 123</v>
      </c>
      <c r="F43" s="8">
        <f>+A43</f>
        <v>126</v>
      </c>
    </row>
    <row r="44" spans="1:8">
      <c r="A44" s="8">
        <f>+A43+1</f>
        <v>127</v>
      </c>
      <c r="B44" s="144" t="s">
        <v>1874</v>
      </c>
      <c r="C44" s="369">
        <f>+C42/C40</f>
        <v>0.64714386238151356</v>
      </c>
      <c r="D44" s="2" t="str">
        <f>"Line "&amp;A42&amp;" / Line "&amp;A40&amp;""</f>
        <v>Line 125 / Line 123</v>
      </c>
      <c r="F44" s="8">
        <f>+A44</f>
        <v>127</v>
      </c>
    </row>
    <row r="46" spans="1:8">
      <c r="B46" s="120" t="s">
        <v>1875</v>
      </c>
      <c r="C46" s="55"/>
      <c r="D46" s="55"/>
      <c r="E46" s="55"/>
      <c r="F46" s="20"/>
    </row>
    <row r="47" spans="1:8">
      <c r="A47" s="8">
        <f>+A44+1</f>
        <v>128</v>
      </c>
      <c r="B47" s="17" t="s">
        <v>1876</v>
      </c>
      <c r="C47" s="33">
        <f>+'9-PlantAdditions'!E75</f>
        <v>1055132571.936579</v>
      </c>
      <c r="D47" s="2" t="s">
        <v>1877</v>
      </c>
      <c r="E47" s="413" t="s">
        <v>1878</v>
      </c>
      <c r="F47" s="8">
        <f t="shared" ref="F47:F53" si="0">+A47</f>
        <v>128</v>
      </c>
      <c r="H47" s="28"/>
    </row>
    <row r="48" spans="1:8">
      <c r="A48" s="8">
        <f t="shared" ref="A48:A53" si="1">+A47+1</f>
        <v>129</v>
      </c>
      <c r="B48" s="17" t="s">
        <v>1879</v>
      </c>
      <c r="C48" s="33">
        <f>+'9-PlantAdditions'!E111</f>
        <v>1340644517.5474126</v>
      </c>
      <c r="D48" s="2" t="s">
        <v>1880</v>
      </c>
      <c r="E48" s="413" t="s">
        <v>1878</v>
      </c>
      <c r="F48" s="8">
        <f t="shared" si="0"/>
        <v>129</v>
      </c>
      <c r="H48" s="31"/>
    </row>
    <row r="49" spans="1:7">
      <c r="A49" s="8">
        <f t="shared" si="1"/>
        <v>130</v>
      </c>
      <c r="B49" s="17" t="s">
        <v>1881</v>
      </c>
      <c r="C49" s="33">
        <f>+C47+C41</f>
        <v>6291413771.9365788</v>
      </c>
      <c r="D49" s="2" t="str">
        <f>"Line "&amp;A41&amp;" + Line "&amp;A47&amp;""</f>
        <v>Line 124 + Line 128</v>
      </c>
      <c r="E49" s="413" t="s">
        <v>1878</v>
      </c>
      <c r="F49" s="8">
        <f t="shared" si="0"/>
        <v>130</v>
      </c>
    </row>
    <row r="50" spans="1:7">
      <c r="A50" s="8">
        <f t="shared" si="1"/>
        <v>131</v>
      </c>
      <c r="B50" s="17" t="s">
        <v>1882</v>
      </c>
      <c r="C50" s="33">
        <f>+C42+C48</f>
        <v>10944068913.547413</v>
      </c>
      <c r="D50" s="2" t="str">
        <f>"Line "&amp;A42&amp;" + Line "&amp;A48&amp;""</f>
        <v>Line 125 + Line 129</v>
      </c>
      <c r="E50" s="413" t="s">
        <v>1878</v>
      </c>
      <c r="F50" s="8">
        <f t="shared" si="0"/>
        <v>131</v>
      </c>
    </row>
    <row r="51" spans="1:7">
      <c r="A51" s="8">
        <f t="shared" si="1"/>
        <v>132</v>
      </c>
      <c r="B51" s="17" t="s">
        <v>1883</v>
      </c>
      <c r="C51" s="33">
        <f>+C50+C49</f>
        <v>17235482685.483994</v>
      </c>
      <c r="D51" s="6" t="str">
        <f>"Line "&amp;A49&amp;" + Line "&amp;A50&amp;""</f>
        <v>Line 130 + Line 131</v>
      </c>
      <c r="E51" s="413" t="s">
        <v>1878</v>
      </c>
      <c r="F51" s="8">
        <f t="shared" si="0"/>
        <v>132</v>
      </c>
    </row>
    <row r="52" spans="1:7">
      <c r="A52" s="8">
        <f t="shared" si="1"/>
        <v>133</v>
      </c>
      <c r="B52" s="144" t="s">
        <v>1873</v>
      </c>
      <c r="C52" s="369">
        <f>+C49/C51</f>
        <v>0.36502683949984821</v>
      </c>
      <c r="D52" s="2" t="str">
        <f>"Line "&amp;A49&amp;" / Line "&amp;A51&amp;""</f>
        <v>Line 130 / Line 132</v>
      </c>
      <c r="E52" s="413" t="s">
        <v>1878</v>
      </c>
      <c r="F52" s="8">
        <f t="shared" si="0"/>
        <v>133</v>
      </c>
    </row>
    <row r="53" spans="1:7">
      <c r="A53" s="8">
        <f t="shared" si="1"/>
        <v>134</v>
      </c>
      <c r="B53" s="144" t="s">
        <v>1874</v>
      </c>
      <c r="C53" s="369">
        <f>+C50/C51</f>
        <v>0.63497316050015162</v>
      </c>
      <c r="D53" s="2" t="str">
        <f>"Line "&amp;A50&amp;" / Line "&amp;A51&amp;""</f>
        <v>Line 131 / Line 132</v>
      </c>
      <c r="E53" s="413" t="s">
        <v>1878</v>
      </c>
      <c r="F53" s="8">
        <f t="shared" si="0"/>
        <v>134</v>
      </c>
    </row>
    <row r="55" spans="1:7">
      <c r="B55" s="58" t="s">
        <v>1884</v>
      </c>
      <c r="C55" s="370"/>
      <c r="D55" s="55"/>
      <c r="E55" s="55"/>
    </row>
    <row r="56" spans="1:7" ht="29">
      <c r="A56" s="8">
        <f>A53+1</f>
        <v>135</v>
      </c>
      <c r="B56" s="690" t="s">
        <v>1885</v>
      </c>
      <c r="C56" s="369">
        <f>0.6*C24+0.4*C29</f>
        <v>0.12718032763496651</v>
      </c>
      <c r="D56" s="2" t="str">
        <f>"(60% * Line "&amp;A24&amp;") + (40% *Line "&amp;A29&amp;")"</f>
        <v>(60% * Line 113) + (40% *Line 116)</v>
      </c>
      <c r="F56" s="8">
        <f>A56</f>
        <v>135</v>
      </c>
    </row>
    <row r="57" spans="1:7" ht="29">
      <c r="A57" s="8">
        <f>A56+1</f>
        <v>136</v>
      </c>
      <c r="B57" s="690" t="s">
        <v>1886</v>
      </c>
      <c r="C57" s="369">
        <f>0.6*C23+0.4*C33</f>
        <v>0.17587063739917486</v>
      </c>
      <c r="D57" s="2" t="str">
        <f>"(60% * Line "&amp;A23&amp;") + (40% *Line "&amp;A33&amp;")"</f>
        <v>(60% * Line 112) + (40% *Line 119)</v>
      </c>
      <c r="F57" s="8">
        <f>A57</f>
        <v>136</v>
      </c>
      <c r="G57" s="693"/>
    </row>
    <row r="58" spans="1:7">
      <c r="A58" s="8"/>
      <c r="B58" s="12"/>
      <c r="C58" s="369"/>
    </row>
    <row r="59" spans="1:7">
      <c r="A59" s="8"/>
      <c r="B59" s="58" t="s">
        <v>1887</v>
      </c>
      <c r="C59" s="370"/>
      <c r="D59" s="55"/>
      <c r="E59" s="55"/>
    </row>
    <row r="60" spans="1:7">
      <c r="A60" s="8">
        <f>A57+1</f>
        <v>137</v>
      </c>
      <c r="B60" t="s">
        <v>1888</v>
      </c>
      <c r="C60" s="32">
        <f>+'10-AccDep'!P26+'10-AccDep'!D128</f>
        <v>3913827831.9851422</v>
      </c>
      <c r="D60" s="219" t="s">
        <v>1889</v>
      </c>
      <c r="F60" s="8">
        <f>A60</f>
        <v>137</v>
      </c>
    </row>
    <row r="61" spans="1:7">
      <c r="A61" s="8">
        <f>+A60+1</f>
        <v>138</v>
      </c>
      <c r="B61" s="17" t="s">
        <v>1890</v>
      </c>
      <c r="C61" s="353">
        <v>32562736231.899246</v>
      </c>
      <c r="D61" s="6" t="s">
        <v>1891</v>
      </c>
      <c r="F61" s="8">
        <f>A61</f>
        <v>138</v>
      </c>
    </row>
    <row r="62" spans="1:7">
      <c r="A62" s="8">
        <f>+A61+1</f>
        <v>139</v>
      </c>
      <c r="B62" t="s">
        <v>1892</v>
      </c>
      <c r="C62" s="33">
        <f>+C31-C60</f>
        <v>12273686329.559959</v>
      </c>
      <c r="D62" s="6" t="s">
        <v>1893</v>
      </c>
      <c r="F62" s="8">
        <f>A62</f>
        <v>139</v>
      </c>
    </row>
    <row r="63" spans="1:7">
      <c r="A63" s="8">
        <f>+A62+1</f>
        <v>140</v>
      </c>
      <c r="B63" s="17" t="s">
        <v>1894</v>
      </c>
      <c r="C63" s="33">
        <f>+C32-C61</f>
        <v>41243228813.384705</v>
      </c>
      <c r="D63" s="6" t="s">
        <v>1895</v>
      </c>
      <c r="F63" s="8">
        <f>A63</f>
        <v>140</v>
      </c>
    </row>
    <row r="64" spans="1:7">
      <c r="A64" s="8">
        <f>+A63+1</f>
        <v>141</v>
      </c>
      <c r="B64" s="12" t="s">
        <v>1896</v>
      </c>
      <c r="C64" s="369">
        <f>C62/C63</f>
        <v>0.29759276086494879</v>
      </c>
      <c r="D64" s="2" t="s">
        <v>1897</v>
      </c>
      <c r="F64" s="8">
        <f>A64</f>
        <v>141</v>
      </c>
    </row>
    <row r="68" spans="3:3">
      <c r="C68" s="334"/>
    </row>
    <row r="69" spans="3:3">
      <c r="C69" s="334"/>
    </row>
    <row r="144" spans="11:11">
      <c r="K144" t="e">
        <f>E30/E144*E151</f>
        <v>#DIV/0!</v>
      </c>
    </row>
    <row r="160" spans="10:10">
      <c r="J160">
        <f>E160-D160</f>
        <v>0</v>
      </c>
    </row>
  </sheetData>
  <printOptions horizontalCentered="1"/>
  <pageMargins left="1" right="1" top="1" bottom="1" header="0.5" footer="0.5"/>
  <pageSetup scale="67"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L169"/>
  <sheetViews>
    <sheetView tabSelected="1" view="pageBreakPreview" topLeftCell="A129" zoomScale="80" zoomScaleSheetLayoutView="80" zoomScalePageLayoutView="70" workbookViewId="0">
      <selection activeCell="E174" sqref="E174"/>
    </sheetView>
  </sheetViews>
  <sheetFormatPr defaultColWidth="9.1796875" defaultRowHeight="14.5"/>
  <cols>
    <col min="1" max="1" width="4.7265625" style="8" customWidth="1"/>
    <col min="2" max="2" width="2.1796875" style="8" bestFit="1" customWidth="1"/>
    <col min="3" max="3" width="72.54296875" customWidth="1"/>
    <col min="4" max="4" width="14.54296875" bestFit="1" customWidth="1"/>
    <col min="5" max="5" width="19.1796875" bestFit="1" customWidth="1"/>
    <col min="6" max="6" width="37.1796875" bestFit="1" customWidth="1"/>
    <col min="7" max="7" width="26.453125" bestFit="1" customWidth="1"/>
    <col min="8" max="8" width="4.54296875" bestFit="1" customWidth="1"/>
    <col min="9" max="9" width="2.7265625" customWidth="1"/>
    <col min="10" max="10" width="19.7265625" customWidth="1"/>
    <col min="11" max="11" width="25.1796875" customWidth="1"/>
    <col min="12" max="12" width="12.81640625" bestFit="1" customWidth="1"/>
  </cols>
  <sheetData>
    <row r="1" spans="1:9">
      <c r="C1" s="12" t="s">
        <v>129</v>
      </c>
      <c r="F1" s="15" t="s">
        <v>130</v>
      </c>
      <c r="G1" s="48">
        <v>2023</v>
      </c>
    </row>
    <row r="2" spans="1:9">
      <c r="A2" s="14"/>
      <c r="B2" s="14"/>
      <c r="C2" s="47" t="s">
        <v>131</v>
      </c>
      <c r="F2" s="15" t="s">
        <v>132</v>
      </c>
      <c r="G2" s="14">
        <f>G1-2</f>
        <v>2021</v>
      </c>
      <c r="I2" s="15"/>
    </row>
    <row r="3" spans="1:9">
      <c r="A3" s="13"/>
      <c r="B3" s="13"/>
      <c r="G3" s="6"/>
      <c r="H3" s="13"/>
    </row>
    <row r="4" spans="1:9">
      <c r="C4" s="53" t="s">
        <v>133</v>
      </c>
      <c r="D4" s="54"/>
      <c r="E4" s="55"/>
      <c r="F4" s="55"/>
      <c r="G4" s="55"/>
    </row>
    <row r="5" spans="1:9">
      <c r="A5" s="13" t="s">
        <v>100</v>
      </c>
      <c r="B5" s="13"/>
      <c r="C5" s="13" t="s">
        <v>6</v>
      </c>
      <c r="E5" s="13" t="s">
        <v>134</v>
      </c>
      <c r="F5" s="13" t="s">
        <v>135</v>
      </c>
      <c r="G5" s="13" t="s">
        <v>136</v>
      </c>
      <c r="H5" s="13" t="str">
        <f>A5</f>
        <v>Line</v>
      </c>
    </row>
    <row r="6" spans="1:9">
      <c r="C6" s="11" t="s">
        <v>137</v>
      </c>
      <c r="D6" s="11"/>
    </row>
    <row r="7" spans="1:9">
      <c r="A7" s="8">
        <v>100</v>
      </c>
      <c r="C7" t="s">
        <v>138</v>
      </c>
      <c r="E7" s="32">
        <f>'7-PlantInService'!P24</f>
        <v>14839705596</v>
      </c>
      <c r="F7" t="s">
        <v>139</v>
      </c>
      <c r="G7" t="s">
        <v>140</v>
      </c>
      <c r="H7" s="8">
        <f>A7</f>
        <v>100</v>
      </c>
    </row>
    <row r="8" spans="1:9">
      <c r="A8" s="8">
        <f>A7+1</f>
        <v>101</v>
      </c>
      <c r="C8" t="s">
        <v>141</v>
      </c>
      <c r="E8" s="32">
        <f>'7-PlantInService'!D128</f>
        <v>1347808565.5451002</v>
      </c>
      <c r="F8" t="s">
        <v>142</v>
      </c>
      <c r="G8" t="s">
        <v>140</v>
      </c>
      <c r="H8" s="8">
        <f t="shared" ref="H8:H10" si="0">A8</f>
        <v>101</v>
      </c>
    </row>
    <row r="9" spans="1:9">
      <c r="A9" s="8">
        <f t="shared" ref="A9:A10" si="1">A8+1</f>
        <v>102</v>
      </c>
      <c r="C9" t="s">
        <v>143</v>
      </c>
      <c r="E9" s="26">
        <f ca="1">+'8-AbandonedPlant'!M14</f>
        <v>0</v>
      </c>
      <c r="F9" t="s">
        <v>144</v>
      </c>
      <c r="G9" t="s">
        <v>140</v>
      </c>
      <c r="H9" s="8">
        <f t="shared" si="0"/>
        <v>102</v>
      </c>
    </row>
    <row r="10" spans="1:9">
      <c r="A10" s="8">
        <f t="shared" si="1"/>
        <v>103</v>
      </c>
      <c r="C10" s="12" t="s">
        <v>145</v>
      </c>
      <c r="D10" s="12"/>
      <c r="E10" s="69">
        <f ca="1">+E7+E8+E9</f>
        <v>16187514161.545101</v>
      </c>
      <c r="F10" s="6" t="str">
        <f>"Sum of Lines "&amp;A7&amp;" to "&amp;A9&amp;""</f>
        <v>Sum of Lines 100 to 102</v>
      </c>
      <c r="H10" s="8">
        <f t="shared" si="0"/>
        <v>103</v>
      </c>
    </row>
    <row r="12" spans="1:9">
      <c r="C12" s="11" t="s">
        <v>146</v>
      </c>
      <c r="D12" s="11"/>
    </row>
    <row r="13" spans="1:9">
      <c r="A13" s="8">
        <f>A10+1</f>
        <v>104</v>
      </c>
      <c r="C13" t="s">
        <v>147</v>
      </c>
      <c r="E13" s="32">
        <f>'13-WorkCap'!E25</f>
        <v>90974457</v>
      </c>
      <c r="F13" t="s">
        <v>148</v>
      </c>
      <c r="G13" t="s">
        <v>140</v>
      </c>
      <c r="H13" s="8">
        <f t="shared" ref="H13:H16" si="2">A13</f>
        <v>104</v>
      </c>
    </row>
    <row r="14" spans="1:9">
      <c r="A14" s="8">
        <f>A13+1</f>
        <v>105</v>
      </c>
      <c r="C14" t="s">
        <v>149</v>
      </c>
      <c r="E14" s="32">
        <f>'13-WorkCap'!F60</f>
        <v>58108938</v>
      </c>
      <c r="F14" t="s">
        <v>150</v>
      </c>
      <c r="G14" t="s">
        <v>140</v>
      </c>
      <c r="H14" s="8">
        <f t="shared" si="2"/>
        <v>105</v>
      </c>
    </row>
    <row r="15" spans="1:9">
      <c r="A15" s="8">
        <f t="shared" ref="A15:A16" si="3">A14+1</f>
        <v>106</v>
      </c>
      <c r="C15" t="s">
        <v>151</v>
      </c>
      <c r="E15" s="26">
        <f>(E125+E126)/10</f>
        <v>104441810.55301949</v>
      </c>
      <c r="F15" t="str">
        <f>"(Line "&amp;A125&amp;" + Line "&amp;A126&amp;") / 10"</f>
        <v>(Line 500 + Line 501) / 10</v>
      </c>
      <c r="H15" s="8">
        <f t="shared" si="2"/>
        <v>106</v>
      </c>
    </row>
    <row r="16" spans="1:9">
      <c r="A16" s="8">
        <f t="shared" si="3"/>
        <v>107</v>
      </c>
      <c r="C16" s="12" t="s">
        <v>152</v>
      </c>
      <c r="D16" s="12"/>
      <c r="E16" s="69">
        <f>+E13+E15+E14</f>
        <v>253525205.55301949</v>
      </c>
      <c r="F16" s="6" t="str">
        <f>"Sum of Lines "&amp;A13&amp;" to "&amp;A15&amp;""</f>
        <v>Sum of Lines 104 to 106</v>
      </c>
      <c r="H16" s="8">
        <f t="shared" si="2"/>
        <v>107</v>
      </c>
    </row>
    <row r="18" spans="1:9">
      <c r="C18" s="11" t="s">
        <v>153</v>
      </c>
      <c r="D18" s="11"/>
    </row>
    <row r="19" spans="1:9">
      <c r="A19" s="8">
        <f>A16+1</f>
        <v>108</v>
      </c>
      <c r="C19" t="s">
        <v>154</v>
      </c>
      <c r="E19" s="32">
        <f>-'10-AccDep'!P26</f>
        <v>-3464493186</v>
      </c>
      <c r="F19" t="s">
        <v>155</v>
      </c>
      <c r="G19" t="s">
        <v>156</v>
      </c>
      <c r="H19" s="8">
        <f t="shared" ref="H19:H30" si="4">A19</f>
        <v>108</v>
      </c>
    </row>
    <row r="20" spans="1:9">
      <c r="A20" s="8">
        <f>A19+1</f>
        <v>109</v>
      </c>
      <c r="C20" t="s">
        <v>157</v>
      </c>
      <c r="E20" s="26">
        <f>-'10-AccDep'!D128</f>
        <v>-449334645.98514223</v>
      </c>
      <c r="F20" t="s">
        <v>158</v>
      </c>
      <c r="G20" t="s">
        <v>156</v>
      </c>
      <c r="H20" s="8">
        <f t="shared" si="4"/>
        <v>109</v>
      </c>
    </row>
    <row r="21" spans="1:9">
      <c r="A21" s="8">
        <f>A20+1</f>
        <v>110</v>
      </c>
      <c r="C21" s="12" t="s">
        <v>159</v>
      </c>
      <c r="D21" s="12"/>
      <c r="E21" s="69">
        <f>+E19+E20</f>
        <v>-3913827831.9851422</v>
      </c>
      <c r="F21" t="str">
        <f>"Line "&amp;A19&amp;" + Line "&amp;A20&amp;""</f>
        <v>Line 108 + Line 109</v>
      </c>
      <c r="H21" s="8">
        <f t="shared" si="4"/>
        <v>110</v>
      </c>
    </row>
    <row r="23" spans="1:9">
      <c r="A23" s="8">
        <f>A21+1</f>
        <v>111</v>
      </c>
      <c r="B23" s="14" t="s">
        <v>160</v>
      </c>
      <c r="C23" s="14" t="s">
        <v>161</v>
      </c>
      <c r="D23" s="14"/>
      <c r="E23" s="32">
        <f>'14-ADIT'!D13</f>
        <v>-1508728940.0507174</v>
      </c>
      <c r="F23" t="s">
        <v>162</v>
      </c>
      <c r="G23" t="s">
        <v>140</v>
      </c>
      <c r="H23" s="8">
        <f t="shared" si="4"/>
        <v>111</v>
      </c>
      <c r="I23" s="12" t="s">
        <v>160</v>
      </c>
    </row>
    <row r="24" spans="1:9">
      <c r="A24" s="8">
        <v>111</v>
      </c>
      <c r="B24" s="14" t="s">
        <v>163</v>
      </c>
      <c r="C24" s="203" t="s">
        <v>164</v>
      </c>
      <c r="D24" s="14"/>
      <c r="E24" s="26">
        <f>'17-RegAssets-1'!C47</f>
        <v>-535162605.7936902</v>
      </c>
      <c r="F24" t="s">
        <v>165</v>
      </c>
      <c r="G24" t="s">
        <v>140</v>
      </c>
      <c r="H24" s="8">
        <f t="shared" si="4"/>
        <v>111</v>
      </c>
      <c r="I24" s="12" t="s">
        <v>163</v>
      </c>
    </row>
    <row r="25" spans="1:9">
      <c r="A25" s="8">
        <v>111</v>
      </c>
      <c r="B25" s="14" t="s">
        <v>166</v>
      </c>
      <c r="C25" s="203" t="s">
        <v>167</v>
      </c>
      <c r="D25" s="636"/>
      <c r="E25" s="69">
        <f>+E23+E24</f>
        <v>-2043891545.8444076</v>
      </c>
      <c r="F25" t="str">
        <f>"Line "&amp;A23&amp;"a + Line "&amp;A24&amp;"b"</f>
        <v>Line 111a + Line 111b</v>
      </c>
      <c r="G25" t="s">
        <v>140</v>
      </c>
      <c r="H25" s="8">
        <f t="shared" si="4"/>
        <v>111</v>
      </c>
      <c r="I25" s="12" t="s">
        <v>166</v>
      </c>
    </row>
    <row r="26" spans="1:9">
      <c r="A26" s="8">
        <f>A23+1</f>
        <v>112</v>
      </c>
      <c r="C26" s="12" t="s">
        <v>168</v>
      </c>
      <c r="D26" s="556"/>
      <c r="E26" s="32">
        <f>-'15-NUC'!C12</f>
        <v>-126586601.5</v>
      </c>
      <c r="F26" t="s">
        <v>169</v>
      </c>
      <c r="G26" t="s">
        <v>156</v>
      </c>
      <c r="H26" s="8">
        <f t="shared" si="4"/>
        <v>112</v>
      </c>
    </row>
    <row r="27" spans="1:9">
      <c r="A27" s="8">
        <f>A26+1</f>
        <v>113</v>
      </c>
      <c r="C27" s="12" t="s">
        <v>44</v>
      </c>
      <c r="D27" s="556"/>
      <c r="E27" s="32">
        <f>'16-UnfundedReserves CorrectedV1'!E6</f>
        <v>-125205229.9317579</v>
      </c>
      <c r="F27" t="s">
        <v>170</v>
      </c>
      <c r="G27" t="s">
        <v>140</v>
      </c>
      <c r="H27" s="8">
        <f t="shared" si="4"/>
        <v>113</v>
      </c>
    </row>
    <row r="28" spans="1:9">
      <c r="A28" s="8">
        <f>A27+1</f>
        <v>114</v>
      </c>
      <c r="C28" s="12" t="s">
        <v>171</v>
      </c>
      <c r="D28" s="12"/>
      <c r="E28" s="32">
        <f>'17-RegAssets-1'!E25</f>
        <v>0</v>
      </c>
      <c r="F28" t="s">
        <v>172</v>
      </c>
      <c r="G28" t="s">
        <v>140</v>
      </c>
      <c r="H28" s="8">
        <f t="shared" si="4"/>
        <v>114</v>
      </c>
    </row>
    <row r="29" spans="1:9">
      <c r="E29" s="32"/>
      <c r="H29" s="8"/>
    </row>
    <row r="30" spans="1:9">
      <c r="A30" s="8">
        <f>A28+1</f>
        <v>115</v>
      </c>
      <c r="C30" s="12" t="s">
        <v>173</v>
      </c>
      <c r="D30" s="12"/>
      <c r="E30" s="69">
        <f ca="1">+E10+E16+E21+E25+E26+E28+E27</f>
        <v>10231528157.836813</v>
      </c>
      <c r="F30" t="str">
        <f>"Sum of Lines "&amp;A10&amp;", "&amp;A16&amp;", "&amp;A21&amp;" and Lines "&amp;A25&amp;B25&amp;" to "&amp;A28&amp;""</f>
        <v>Sum of Lines 103, 107, 110 and Lines 111c to 114</v>
      </c>
      <c r="H30" s="8">
        <f t="shared" si="4"/>
        <v>115</v>
      </c>
    </row>
    <row r="31" spans="1:9">
      <c r="E31" s="17"/>
      <c r="H31" s="8"/>
    </row>
    <row r="32" spans="1:9">
      <c r="C32" s="53" t="s">
        <v>174</v>
      </c>
      <c r="D32" s="55"/>
      <c r="E32" s="55"/>
      <c r="F32" s="55"/>
      <c r="G32" s="55"/>
    </row>
    <row r="33" spans="1:8">
      <c r="A33" s="13" t="s">
        <v>100</v>
      </c>
      <c r="B33" s="13"/>
      <c r="C33" s="13" t="s">
        <v>6</v>
      </c>
      <c r="E33" s="13" t="s">
        <v>134</v>
      </c>
      <c r="F33" s="13" t="s">
        <v>135</v>
      </c>
      <c r="G33" s="13" t="s">
        <v>136</v>
      </c>
      <c r="H33" s="13" t="str">
        <f>A33</f>
        <v>Line</v>
      </c>
    </row>
    <row r="34" spans="1:8">
      <c r="C34" s="11" t="s">
        <v>175</v>
      </c>
      <c r="D34" s="11"/>
    </row>
    <row r="35" spans="1:8">
      <c r="A35" s="8">
        <v>200</v>
      </c>
      <c r="C35" t="s">
        <v>176</v>
      </c>
      <c r="E35" s="87">
        <f>'5-CostofCap-1 Corrected V1'!D16</f>
        <v>37043680713.858284</v>
      </c>
      <c r="F35" t="s">
        <v>177</v>
      </c>
      <c r="H35" s="8">
        <f t="shared" ref="H35" si="5">A35</f>
        <v>200</v>
      </c>
    </row>
    <row r="36" spans="1:8">
      <c r="A36" s="8">
        <f>A35+1</f>
        <v>201</v>
      </c>
      <c r="C36" t="s">
        <v>178</v>
      </c>
      <c r="E36" s="412">
        <f>'5-CostofCap-3'!F24</f>
        <v>3.5299999999999998E-2</v>
      </c>
      <c r="F36" t="s">
        <v>179</v>
      </c>
      <c r="H36" s="8">
        <f t="shared" ref="H36:H37" si="6">A36</f>
        <v>201</v>
      </c>
    </row>
    <row r="37" spans="1:8">
      <c r="A37" s="8">
        <f>A36+1</f>
        <v>202</v>
      </c>
      <c r="C37" s="12" t="s">
        <v>180</v>
      </c>
      <c r="E37" s="69">
        <f>E35*E36</f>
        <v>1307641929.1991973</v>
      </c>
      <c r="F37" t="str">
        <f>"Line "&amp;A35&amp;" * Line "&amp;A36&amp;""</f>
        <v>Line 200 * Line 201</v>
      </c>
      <c r="H37" s="8">
        <f t="shared" si="6"/>
        <v>202</v>
      </c>
    </row>
    <row r="39" spans="1:8">
      <c r="C39" s="11" t="s">
        <v>181</v>
      </c>
      <c r="D39" s="11"/>
    </row>
    <row r="40" spans="1:8">
      <c r="A40" s="8">
        <f>A37+1</f>
        <v>203</v>
      </c>
      <c r="C40" t="s">
        <v>182</v>
      </c>
      <c r="E40" s="32">
        <f>'5-CostofCap-1 Corrected V1'!D22</f>
        <v>252054300.31999999</v>
      </c>
      <c r="F40" t="s">
        <v>183</v>
      </c>
      <c r="H40" s="8">
        <f t="shared" ref="H40:H42" si="7">A40</f>
        <v>203</v>
      </c>
    </row>
    <row r="41" spans="1:8">
      <c r="A41" s="8">
        <f>A40+1</f>
        <v>204</v>
      </c>
      <c r="C41" t="s">
        <v>22</v>
      </c>
      <c r="E41" s="41">
        <f>'5-CostofCap-4'!E14</f>
        <v>5.5211589517762859E-2</v>
      </c>
      <c r="F41" t="s">
        <v>184</v>
      </c>
      <c r="H41" s="8">
        <f t="shared" si="7"/>
        <v>204</v>
      </c>
    </row>
    <row r="42" spans="1:8">
      <c r="A42" s="8">
        <f>A41+1</f>
        <v>205</v>
      </c>
      <c r="C42" s="12" t="s">
        <v>185</v>
      </c>
      <c r="E42" s="69">
        <f>E40*E41</f>
        <v>13916318.565454762</v>
      </c>
      <c r="F42" t="str">
        <f>"Line "&amp;A40&amp;" * Line "&amp;A41&amp;""</f>
        <v>Line 203 * Line 204</v>
      </c>
      <c r="H42" s="8">
        <f t="shared" si="7"/>
        <v>205</v>
      </c>
    </row>
    <row r="44" spans="1:8">
      <c r="C44" s="11" t="s">
        <v>186</v>
      </c>
      <c r="D44" s="11"/>
    </row>
    <row r="45" spans="1:8">
      <c r="A45" s="8">
        <f>A42+1</f>
        <v>206</v>
      </c>
      <c r="C45" t="s">
        <v>187</v>
      </c>
      <c r="E45" s="87">
        <f>'5-CostofCap-1 Corrected V1'!D30</f>
        <v>25021810263.84</v>
      </c>
      <c r="F45" t="s">
        <v>188</v>
      </c>
      <c r="H45" s="8">
        <f t="shared" ref="H45:H47" si="8">A45</f>
        <v>206</v>
      </c>
    </row>
    <row r="46" spans="1:8">
      <c r="H46" s="8"/>
    </row>
    <row r="47" spans="1:8">
      <c r="A47" s="8">
        <f>A45+1</f>
        <v>207</v>
      </c>
      <c r="C47" s="12" t="s">
        <v>189</v>
      </c>
      <c r="D47" s="12"/>
      <c r="E47" s="69">
        <f>E35+E40+E45</f>
        <v>62317545278.01828</v>
      </c>
      <c r="F47" t="str">
        <f>"Line "&amp;A35&amp;" + Line "&amp;A40&amp;" + Line "&amp;A45&amp;""</f>
        <v>Line 200 + Line 203 + Line 206</v>
      </c>
      <c r="H47" s="8">
        <f t="shared" si="8"/>
        <v>207</v>
      </c>
    </row>
    <row r="49" spans="1:8">
      <c r="C49" s="11" t="s">
        <v>190</v>
      </c>
      <c r="D49" s="11"/>
    </row>
    <row r="50" spans="1:8">
      <c r="A50" s="8">
        <f>A47+1</f>
        <v>208</v>
      </c>
      <c r="C50" t="s">
        <v>191</v>
      </c>
      <c r="E50" s="28">
        <v>0.4975</v>
      </c>
      <c r="F50" s="17" t="s">
        <v>192</v>
      </c>
      <c r="G50" s="17" t="s">
        <v>193</v>
      </c>
      <c r="H50" s="8">
        <f t="shared" ref="H50:H52" si="9">A50</f>
        <v>208</v>
      </c>
    </row>
    <row r="51" spans="1:8">
      <c r="A51" s="8">
        <f>A50+1</f>
        <v>209</v>
      </c>
      <c r="C51" t="s">
        <v>194</v>
      </c>
      <c r="E51" s="28">
        <v>5.0000000000000001E-3</v>
      </c>
      <c r="F51" s="17" t="s">
        <v>195</v>
      </c>
      <c r="G51" s="17" t="s">
        <v>193</v>
      </c>
      <c r="H51" s="8">
        <f t="shared" si="9"/>
        <v>209</v>
      </c>
    </row>
    <row r="52" spans="1:8">
      <c r="A52" s="8">
        <f>A51+1</f>
        <v>210</v>
      </c>
      <c r="C52" t="s">
        <v>196</v>
      </c>
      <c r="E52" s="28">
        <v>0.4975</v>
      </c>
      <c r="F52" s="17" t="s">
        <v>192</v>
      </c>
      <c r="G52" s="17" t="s">
        <v>193</v>
      </c>
      <c r="H52" s="8">
        <f t="shared" si="9"/>
        <v>210</v>
      </c>
    </row>
    <row r="54" spans="1:8">
      <c r="C54" s="11" t="s">
        <v>197</v>
      </c>
      <c r="D54" s="11"/>
      <c r="H54" s="8"/>
    </row>
    <row r="55" spans="1:8">
      <c r="A55" s="8">
        <f>A52+1</f>
        <v>211</v>
      </c>
      <c r="C55" t="s">
        <v>20</v>
      </c>
      <c r="E55" s="31">
        <f>E36</f>
        <v>3.5299999999999998E-2</v>
      </c>
      <c r="F55" t="str">
        <f>"Line "&amp;A36&amp;""</f>
        <v>Line 201</v>
      </c>
      <c r="H55" s="8">
        <f t="shared" ref="H55:H60" si="10">A55</f>
        <v>211</v>
      </c>
    </row>
    <row r="56" spans="1:8">
      <c r="A56" s="8">
        <f>A55+1</f>
        <v>212</v>
      </c>
      <c r="C56" t="s">
        <v>22</v>
      </c>
      <c r="E56" s="31">
        <f>E41</f>
        <v>5.5211589517762859E-2</v>
      </c>
      <c r="F56" t="str">
        <f>"Line "&amp;A41&amp;""</f>
        <v>Line 204</v>
      </c>
      <c r="H56" s="8">
        <f t="shared" si="10"/>
        <v>212</v>
      </c>
    </row>
    <row r="57" spans="1:8">
      <c r="E57" s="31"/>
      <c r="H57" s="8"/>
    </row>
    <row r="58" spans="1:8">
      <c r="A58" s="8">
        <f>A56+1</f>
        <v>213</v>
      </c>
      <c r="C58" s="12" t="s">
        <v>198</v>
      </c>
      <c r="E58" s="506">
        <f>E59+E60</f>
        <v>0.1045</v>
      </c>
      <c r="F58" t="s">
        <v>199</v>
      </c>
      <c r="H58" s="8">
        <f t="shared" si="10"/>
        <v>213</v>
      </c>
    </row>
    <row r="59" spans="1:8">
      <c r="A59" s="8">
        <f t="shared" ref="A59:A60" si="11">A58+1</f>
        <v>214</v>
      </c>
      <c r="C59" t="s">
        <v>200</v>
      </c>
      <c r="E59" s="29">
        <v>0.1045</v>
      </c>
      <c r="F59" t="s">
        <v>201</v>
      </c>
      <c r="G59" s="17" t="s">
        <v>111</v>
      </c>
      <c r="H59" s="8">
        <f t="shared" si="10"/>
        <v>214</v>
      </c>
    </row>
    <row r="60" spans="1:8">
      <c r="A60" s="8">
        <f t="shared" si="11"/>
        <v>215</v>
      </c>
      <c r="C60" t="s">
        <v>202</v>
      </c>
      <c r="E60" s="29">
        <v>0</v>
      </c>
      <c r="G60" t="s">
        <v>203</v>
      </c>
      <c r="H60" s="8">
        <f t="shared" si="10"/>
        <v>215</v>
      </c>
    </row>
    <row r="62" spans="1:8">
      <c r="C62" s="11" t="s">
        <v>204</v>
      </c>
      <c r="D62" s="11"/>
    </row>
    <row r="63" spans="1:8">
      <c r="A63" s="8">
        <f>A60+1</f>
        <v>216</v>
      </c>
      <c r="C63" t="s">
        <v>205</v>
      </c>
      <c r="E63" s="28">
        <f>E50*E55</f>
        <v>1.7561749999999998E-2</v>
      </c>
      <c r="F63" t="str">
        <f>"Line "&amp;A50&amp;" * Line "&amp;A55&amp;""</f>
        <v>Line 208 * Line 211</v>
      </c>
      <c r="H63" s="8">
        <f t="shared" ref="H63:H66" si="12">A63</f>
        <v>216</v>
      </c>
    </row>
    <row r="64" spans="1:8">
      <c r="A64" s="8">
        <f>A63+1</f>
        <v>217</v>
      </c>
      <c r="C64" t="s">
        <v>206</v>
      </c>
      <c r="E64" s="28">
        <f>E51*E56</f>
        <v>2.7605794758881429E-4</v>
      </c>
      <c r="F64" t="str">
        <f>"Line "&amp;A51&amp;" * Line "&amp;A56&amp;""</f>
        <v>Line 209 * Line 212</v>
      </c>
      <c r="H64" s="8">
        <f t="shared" si="12"/>
        <v>217</v>
      </c>
    </row>
    <row r="65" spans="1:8">
      <c r="A65" s="8">
        <f>A64+1</f>
        <v>218</v>
      </c>
      <c r="C65" t="s">
        <v>207</v>
      </c>
      <c r="E65" s="34">
        <f>E52*E58</f>
        <v>5.198875E-2</v>
      </c>
      <c r="F65" t="str">
        <f>"Line "&amp;A52&amp;" * Line "&amp;A58&amp;""</f>
        <v>Line 210 * Line 213</v>
      </c>
      <c r="H65" s="8">
        <f t="shared" si="12"/>
        <v>218</v>
      </c>
    </row>
    <row r="66" spans="1:8">
      <c r="A66" s="8">
        <f>A65+1</f>
        <v>219</v>
      </c>
      <c r="C66" s="12" t="s">
        <v>208</v>
      </c>
      <c r="D66" s="12"/>
      <c r="E66" s="372">
        <f>SUM(E63:E65)</f>
        <v>6.982655794758881E-2</v>
      </c>
      <c r="F66" s="6" t="str">
        <f>"Sum of Lines "&amp;A63&amp;" to "&amp;A65&amp;""</f>
        <v>Sum of Lines 216 to 218</v>
      </c>
      <c r="H66" s="8">
        <f t="shared" si="12"/>
        <v>219</v>
      </c>
    </row>
    <row r="68" spans="1:8">
      <c r="A68" s="8">
        <f>A66+1</f>
        <v>220</v>
      </c>
      <c r="C68" s="12" t="s">
        <v>209</v>
      </c>
      <c r="D68" s="12"/>
      <c r="E68" s="31">
        <f>E64+E65</f>
        <v>5.2264807947588816E-2</v>
      </c>
      <c r="F68" t="str">
        <f>"Line "&amp;A64&amp;" + Line "&amp;A65&amp;""</f>
        <v>Line 217 + Line 218</v>
      </c>
      <c r="G68" s="17"/>
      <c r="H68" s="8">
        <f t="shared" ref="H68:H69" si="13">A68</f>
        <v>220</v>
      </c>
    </row>
    <row r="69" spans="1:8">
      <c r="A69" s="8">
        <f>A68+1</f>
        <v>221</v>
      </c>
      <c r="C69" s="12" t="s">
        <v>210</v>
      </c>
      <c r="D69" s="12"/>
      <c r="E69" s="31">
        <f>E60*E52</f>
        <v>0</v>
      </c>
      <c r="F69" t="str">
        <f>"Line "&amp;A52&amp;" * Line "&amp;A60&amp;""</f>
        <v>Line 210 * Line 215</v>
      </c>
      <c r="G69" s="17"/>
      <c r="H69" s="8">
        <f t="shared" si="13"/>
        <v>221</v>
      </c>
    </row>
    <row r="70" spans="1:8">
      <c r="H70" s="8"/>
    </row>
    <row r="71" spans="1:8">
      <c r="A71" s="8">
        <f>A69+1</f>
        <v>222</v>
      </c>
      <c r="C71" t="s">
        <v>211</v>
      </c>
      <c r="D71" s="12"/>
      <c r="E71" s="32">
        <f ca="1">E66*E30</f>
        <v>714432393.80557883</v>
      </c>
      <c r="F71" t="str">
        <f>"Line "&amp;A66&amp;" * Line "&amp;A30&amp;""</f>
        <v>Line 219 * Line 115</v>
      </c>
      <c r="H71" s="8">
        <f t="shared" ref="H71:H73" si="14">A71</f>
        <v>222</v>
      </c>
    </row>
    <row r="72" spans="1:8">
      <c r="A72" s="8">
        <f>A71+1</f>
        <v>223</v>
      </c>
      <c r="C72" t="s">
        <v>212</v>
      </c>
      <c r="D72" s="12"/>
      <c r="E72" s="32">
        <f ca="1">E69*E9</f>
        <v>0</v>
      </c>
      <c r="F72" t="str">
        <f>"Line "&amp;A9&amp;" * Line "&amp;A69&amp;""</f>
        <v>Line 102 * Line 221</v>
      </c>
      <c r="H72" s="8">
        <f t="shared" si="14"/>
        <v>223</v>
      </c>
    </row>
    <row r="73" spans="1:8">
      <c r="A73" s="8">
        <f>A72+1</f>
        <v>224</v>
      </c>
      <c r="C73" s="12" t="s">
        <v>213</v>
      </c>
      <c r="D73" s="12"/>
      <c r="E73" s="69">
        <f ca="1">E71-E72</f>
        <v>714432393.80557883</v>
      </c>
      <c r="F73" t="str">
        <f>"Line "&amp;A71&amp;" - Line "&amp;A72&amp;""</f>
        <v>Line 222 - Line 223</v>
      </c>
      <c r="H73" s="8">
        <f t="shared" si="14"/>
        <v>224</v>
      </c>
    </row>
    <row r="75" spans="1:8">
      <c r="C75" s="53" t="s">
        <v>214</v>
      </c>
      <c r="D75" s="55"/>
      <c r="E75" s="55"/>
      <c r="F75" s="55"/>
      <c r="G75" s="55"/>
    </row>
    <row r="76" spans="1:8">
      <c r="A76" s="13" t="s">
        <v>100</v>
      </c>
      <c r="B76" s="13"/>
      <c r="C76" s="13" t="s">
        <v>6</v>
      </c>
      <c r="E76" s="13" t="s">
        <v>134</v>
      </c>
      <c r="F76" s="13" t="s">
        <v>135</v>
      </c>
      <c r="G76" s="13" t="s">
        <v>136</v>
      </c>
      <c r="H76" s="13" t="str">
        <f>A76</f>
        <v>Line</v>
      </c>
    </row>
    <row r="77" spans="1:8">
      <c r="C77" s="11" t="s">
        <v>215</v>
      </c>
      <c r="D77" s="11"/>
    </row>
    <row r="78" spans="1:8">
      <c r="A78" s="8">
        <v>300</v>
      </c>
      <c r="C78" t="s">
        <v>216</v>
      </c>
      <c r="E78" s="52">
        <v>386998160</v>
      </c>
      <c r="F78" t="s">
        <v>217</v>
      </c>
      <c r="H78" s="8">
        <f t="shared" ref="H78:H80" si="15">A78</f>
        <v>300</v>
      </c>
    </row>
    <row r="79" spans="1:8">
      <c r="A79" s="8">
        <f>A78+1</f>
        <v>301</v>
      </c>
      <c r="C79" t="s">
        <v>218</v>
      </c>
      <c r="E79" s="41">
        <f>'24-Allocators'!C64</f>
        <v>0.29759276086494879</v>
      </c>
      <c r="F79" t="s">
        <v>219</v>
      </c>
      <c r="H79" s="8">
        <f t="shared" si="15"/>
        <v>301</v>
      </c>
    </row>
    <row r="80" spans="1:8">
      <c r="A80" s="8">
        <f>A79+1</f>
        <v>302</v>
      </c>
      <c r="C80" s="12" t="s">
        <v>220</v>
      </c>
      <c r="D80" s="12"/>
      <c r="E80" s="69">
        <f>+E78*E79</f>
        <v>115167850.8840552</v>
      </c>
      <c r="F80" t="str">
        <f>"Line "&amp;A78&amp;" * Line "&amp;A79&amp;""</f>
        <v>Line 300 * Line 301</v>
      </c>
      <c r="H80" s="8">
        <f t="shared" si="15"/>
        <v>302</v>
      </c>
    </row>
    <row r="82" spans="1:8">
      <c r="C82" s="11" t="s">
        <v>221</v>
      </c>
      <c r="D82" s="11"/>
    </row>
    <row r="83" spans="1:8">
      <c r="A83" s="8">
        <f>A80+1</f>
        <v>303</v>
      </c>
      <c r="C83" t="s">
        <v>222</v>
      </c>
      <c r="E83" s="670">
        <v>102363274</v>
      </c>
      <c r="F83" t="s">
        <v>223</v>
      </c>
      <c r="H83" s="8">
        <f t="shared" ref="H83" si="16">A83</f>
        <v>303</v>
      </c>
    </row>
    <row r="84" spans="1:8">
      <c r="A84" s="8">
        <f>A83+1</f>
        <v>304</v>
      </c>
      <c r="C84" t="s">
        <v>224</v>
      </c>
      <c r="E84" s="670">
        <v>4436145</v>
      </c>
      <c r="F84" t="s">
        <v>225</v>
      </c>
      <c r="H84" s="8">
        <f t="shared" ref="H84:H88" si="17">A84</f>
        <v>304</v>
      </c>
    </row>
    <row r="85" spans="1:8">
      <c r="A85" s="8">
        <f>A84+1</f>
        <v>305</v>
      </c>
      <c r="C85" t="s">
        <v>226</v>
      </c>
      <c r="E85" s="670">
        <v>807174</v>
      </c>
      <c r="F85" t="s">
        <v>227</v>
      </c>
      <c r="H85" s="8">
        <f t="shared" si="17"/>
        <v>305</v>
      </c>
    </row>
    <row r="86" spans="1:8">
      <c r="A86" s="8">
        <f t="shared" ref="A86:A91" si="18">A85+1</f>
        <v>306</v>
      </c>
      <c r="C86" t="s">
        <v>228</v>
      </c>
      <c r="E86" s="670">
        <v>37665761</v>
      </c>
      <c r="F86" t="s">
        <v>229</v>
      </c>
      <c r="G86" t="s">
        <v>230</v>
      </c>
      <c r="H86" s="8">
        <f t="shared" si="17"/>
        <v>306</v>
      </c>
    </row>
    <row r="87" spans="1:8">
      <c r="A87" s="8">
        <f t="shared" si="18"/>
        <v>307</v>
      </c>
      <c r="C87" t="s">
        <v>231</v>
      </c>
      <c r="E87" s="694">
        <v>0</v>
      </c>
      <c r="F87" t="s">
        <v>232</v>
      </c>
      <c r="G87" t="s">
        <v>230</v>
      </c>
      <c r="H87" s="8">
        <f t="shared" si="17"/>
        <v>307</v>
      </c>
    </row>
    <row r="88" spans="1:8">
      <c r="A88" s="8">
        <f t="shared" si="18"/>
        <v>308</v>
      </c>
      <c r="C88" s="12" t="s">
        <v>233</v>
      </c>
      <c r="D88" s="12"/>
      <c r="E88" s="69">
        <f>SUM(E83:E87)</f>
        <v>145272354</v>
      </c>
      <c r="F88" s="6" t="str">
        <f>"Sum of Lines "&amp;A83&amp;" to "&amp;A87&amp;""</f>
        <v>Sum of Lines 303 to 307</v>
      </c>
      <c r="H88" s="8">
        <f t="shared" si="17"/>
        <v>308</v>
      </c>
    </row>
    <row r="90" spans="1:8">
      <c r="A90" s="8">
        <f>A88+1</f>
        <v>309</v>
      </c>
      <c r="C90" t="s">
        <v>234</v>
      </c>
      <c r="E90" s="31">
        <f>'24-Allocators'!C23</f>
        <v>0.14690087374748809</v>
      </c>
      <c r="F90" t="s">
        <v>235</v>
      </c>
      <c r="H90" s="8">
        <f t="shared" ref="H90:H91" si="19">A90</f>
        <v>309</v>
      </c>
    </row>
    <row r="91" spans="1:8">
      <c r="A91" s="8">
        <f t="shared" si="18"/>
        <v>310</v>
      </c>
      <c r="C91" s="12" t="s">
        <v>236</v>
      </c>
      <c r="D91" s="12"/>
      <c r="E91" s="69">
        <f>E88*E90</f>
        <v>21340635.733954396</v>
      </c>
      <c r="F91" s="17" t="str">
        <f>"Line "&amp;A90&amp;" *  Line "&amp;A88&amp;""</f>
        <v>Line 309 *  Line 308</v>
      </c>
      <c r="H91" s="8">
        <f t="shared" si="19"/>
        <v>310</v>
      </c>
    </row>
    <row r="93" spans="1:8">
      <c r="A93" s="8">
        <f>A91+1</f>
        <v>311</v>
      </c>
      <c r="C93" s="12" t="s">
        <v>237</v>
      </c>
      <c r="D93" s="12"/>
      <c r="E93" s="69">
        <f>E91+E80</f>
        <v>136508486.6180096</v>
      </c>
      <c r="F93" t="str">
        <f>"Line "&amp;A80&amp;" + Line "&amp;A91&amp;""</f>
        <v>Line 302 + Line 310</v>
      </c>
      <c r="G93" s="44"/>
      <c r="H93" s="8">
        <f t="shared" ref="H93" si="20">A93</f>
        <v>311</v>
      </c>
    </row>
    <row r="95" spans="1:8">
      <c r="A95"/>
      <c r="B95"/>
      <c r="C95" s="53" t="s">
        <v>238</v>
      </c>
      <c r="D95" s="55"/>
      <c r="E95" s="55"/>
      <c r="F95" s="55"/>
      <c r="G95" s="55"/>
    </row>
    <row r="96" spans="1:8">
      <c r="A96" s="13" t="s">
        <v>100</v>
      </c>
      <c r="B96" s="13"/>
      <c r="C96" s="13" t="s">
        <v>6</v>
      </c>
      <c r="E96" s="13"/>
      <c r="F96" s="13" t="s">
        <v>135</v>
      </c>
      <c r="G96" s="13" t="s">
        <v>136</v>
      </c>
      <c r="H96" s="13" t="str">
        <f>A96</f>
        <v>Line</v>
      </c>
    </row>
    <row r="97" spans="1:8">
      <c r="A97" s="8">
        <v>400</v>
      </c>
      <c r="C97" t="s">
        <v>239</v>
      </c>
      <c r="E97" s="799">
        <f>'22-TaxRates'!C6</f>
        <v>0.21</v>
      </c>
      <c r="F97" t="s">
        <v>240</v>
      </c>
      <c r="H97" s="8">
        <f t="shared" ref="H97:H99" si="21">A97</f>
        <v>400</v>
      </c>
    </row>
    <row r="98" spans="1:8">
      <c r="A98" s="8">
        <f>A97+1</f>
        <v>401</v>
      </c>
      <c r="C98" t="s">
        <v>241</v>
      </c>
      <c r="E98" s="800">
        <f>'22-TaxRates'!C7</f>
        <v>8.8400000000000006E-2</v>
      </c>
      <c r="F98" t="s">
        <v>242</v>
      </c>
      <c r="H98" s="8">
        <f t="shared" si="21"/>
        <v>401</v>
      </c>
    </row>
    <row r="99" spans="1:8">
      <c r="A99" s="8">
        <f>A98+1</f>
        <v>402</v>
      </c>
      <c r="C99" s="12" t="s">
        <v>243</v>
      </c>
      <c r="D99" s="12"/>
      <c r="E99" s="798">
        <f>(E97+E98)-(E97*E98)</f>
        <v>0.27983599999999997</v>
      </c>
      <c r="F99" s="17" t="str">
        <f>"(Line "&amp;A97&amp;" + Line "&amp;A98&amp;") - (Line "&amp;A97&amp;" * Line "&amp;A98&amp;")"</f>
        <v>(Line 400 + Line 401) - (Line 400 * Line 401)</v>
      </c>
      <c r="H99" s="8">
        <f t="shared" si="21"/>
        <v>402</v>
      </c>
    </row>
    <row r="101" spans="1:8">
      <c r="C101" s="11" t="s">
        <v>244</v>
      </c>
      <c r="H101" s="8"/>
    </row>
    <row r="102" spans="1:8">
      <c r="A102" s="8">
        <f>A99+1</f>
        <v>403</v>
      </c>
      <c r="C102" t="s">
        <v>245</v>
      </c>
      <c r="E102" s="788">
        <v>12366737.300944462</v>
      </c>
      <c r="F102" s="446" t="s">
        <v>246</v>
      </c>
      <c r="H102" s="8">
        <f t="shared" ref="H102:H103" si="22">A102</f>
        <v>403</v>
      </c>
    </row>
    <row r="103" spans="1:8">
      <c r="A103" s="8">
        <f>A102+1</f>
        <v>404</v>
      </c>
      <c r="C103" s="12" t="s">
        <v>247</v>
      </c>
      <c r="E103" s="537">
        <f>SUM(E102:E102)</f>
        <v>12366737.300944462</v>
      </c>
      <c r="F103" t="str">
        <f>"Line "&amp;A102&amp;""</f>
        <v>Line 403</v>
      </c>
      <c r="H103" s="8">
        <f t="shared" si="22"/>
        <v>404</v>
      </c>
    </row>
    <row r="104" spans="1:8">
      <c r="E104" s="21"/>
      <c r="H104" s="8"/>
    </row>
    <row r="105" spans="1:8">
      <c r="C105" s="11" t="s">
        <v>248</v>
      </c>
      <c r="D105" s="11"/>
      <c r="E105" s="21"/>
    </row>
    <row r="106" spans="1:8">
      <c r="A106" s="8">
        <f>A103+1</f>
        <v>405</v>
      </c>
      <c r="C106" s="17" t="s">
        <v>249</v>
      </c>
      <c r="E106" s="789">
        <v>-22467507.798090994</v>
      </c>
      <c r="F106" s="446" t="s">
        <v>250</v>
      </c>
      <c r="G106" t="s">
        <v>251</v>
      </c>
      <c r="H106" s="8">
        <f t="shared" ref="H106:H108" si="23">A106</f>
        <v>405</v>
      </c>
    </row>
    <row r="107" spans="1:8">
      <c r="A107" s="8">
        <f t="shared" ref="A107" si="24">A106+1</f>
        <v>406</v>
      </c>
      <c r="C107" t="s">
        <v>252</v>
      </c>
      <c r="E107" s="379">
        <v>-730746.12297081097</v>
      </c>
      <c r="F107" s="446" t="s">
        <v>253</v>
      </c>
      <c r="H107" s="8">
        <f t="shared" si="23"/>
        <v>406</v>
      </c>
    </row>
    <row r="108" spans="1:8">
      <c r="A108" s="8">
        <f>A107+1</f>
        <v>407</v>
      </c>
      <c r="C108" s="12" t="s">
        <v>254</v>
      </c>
      <c r="D108" s="12"/>
      <c r="E108" s="556">
        <f>SUM(E106:E107)</f>
        <v>-23198253.921061806</v>
      </c>
      <c r="F108" t="str">
        <f>"Line "&amp;A106&amp;" + Line "&amp;A107&amp;""</f>
        <v>Line 405 + Line 406</v>
      </c>
      <c r="H108" s="8">
        <f t="shared" si="23"/>
        <v>407</v>
      </c>
    </row>
    <row r="109" spans="1:8">
      <c r="E109" s="20"/>
    </row>
    <row r="110" spans="1:8">
      <c r="A110" s="8">
        <f>A108+1</f>
        <v>408</v>
      </c>
      <c r="C110" s="12" t="s">
        <v>255</v>
      </c>
      <c r="E110" s="69">
        <f ca="1">(((E115*E116)+E119-E120)*(E117/(1-E117)))+E118/(1-E117)</f>
        <v>180381669.64262652</v>
      </c>
      <c r="F110" t="str">
        <f>"Line "&amp;A112&amp;""</f>
        <v>Line 409</v>
      </c>
      <c r="H110" s="8">
        <f t="shared" ref="H110" si="25">A110</f>
        <v>408</v>
      </c>
    </row>
    <row r="112" spans="1:8">
      <c r="A112" s="8">
        <f>A110+1</f>
        <v>409</v>
      </c>
      <c r="C112" t="s">
        <v>256</v>
      </c>
      <c r="H112" s="8">
        <f t="shared" ref="H112" si="26">A112</f>
        <v>409</v>
      </c>
    </row>
    <row r="114" spans="1:12">
      <c r="C114" t="s">
        <v>257</v>
      </c>
    </row>
    <row r="115" spans="1:12">
      <c r="A115" s="8">
        <f>A112+1</f>
        <v>410</v>
      </c>
      <c r="C115" s="35" t="s">
        <v>258</v>
      </c>
      <c r="D115" s="35"/>
      <c r="E115" s="32">
        <f ca="1">+E30</f>
        <v>10231528157.836813</v>
      </c>
      <c r="F115" t="str">
        <f>"Line "&amp;A30&amp;""</f>
        <v>Line 115</v>
      </c>
      <c r="G115" s="21"/>
      <c r="H115" s="8">
        <f t="shared" ref="H115:H120" si="27">A115</f>
        <v>410</v>
      </c>
    </row>
    <row r="116" spans="1:12">
      <c r="A116" s="8">
        <f>A115+1</f>
        <v>411</v>
      </c>
      <c r="C116" s="18" t="s">
        <v>259</v>
      </c>
      <c r="D116" s="18"/>
      <c r="E116" s="31">
        <f>+E68</f>
        <v>5.2264807947588816E-2</v>
      </c>
      <c r="F116" t="str">
        <f>"Line "&amp;A68&amp;""</f>
        <v>Line 220</v>
      </c>
      <c r="H116" s="8">
        <f t="shared" si="27"/>
        <v>411</v>
      </c>
    </row>
    <row r="117" spans="1:12">
      <c r="A117" s="8">
        <f t="shared" ref="A117:A120" si="28">A116+1</f>
        <v>412</v>
      </c>
      <c r="C117" s="35" t="s">
        <v>260</v>
      </c>
      <c r="D117" s="35"/>
      <c r="E117" s="801">
        <f>+E99</f>
        <v>0.27983599999999997</v>
      </c>
      <c r="F117" t="str">
        <f>"Line "&amp;A99&amp;""</f>
        <v>Line 402</v>
      </c>
      <c r="H117" s="8">
        <f t="shared" si="27"/>
        <v>412</v>
      </c>
    </row>
    <row r="118" spans="1:12">
      <c r="A118" s="8">
        <f t="shared" si="28"/>
        <v>413</v>
      </c>
      <c r="C118" s="35" t="s">
        <v>261</v>
      </c>
      <c r="D118" s="35"/>
      <c r="E118" s="32">
        <f>+E108</f>
        <v>-23198253.921061806</v>
      </c>
      <c r="F118" t="str">
        <f>"Line "&amp;A108&amp;""</f>
        <v>Line 407</v>
      </c>
      <c r="H118" s="8">
        <f t="shared" si="27"/>
        <v>413</v>
      </c>
    </row>
    <row r="119" spans="1:12">
      <c r="A119" s="8">
        <f t="shared" si="28"/>
        <v>414</v>
      </c>
      <c r="C119" s="35" t="s">
        <v>262</v>
      </c>
      <c r="D119" s="35"/>
      <c r="E119" s="32">
        <f>+E103</f>
        <v>12366737.300944462</v>
      </c>
      <c r="F119" t="str">
        <f>"Line "&amp;A103&amp;""</f>
        <v>Line 404</v>
      </c>
      <c r="H119" s="8">
        <f t="shared" si="27"/>
        <v>414</v>
      </c>
    </row>
    <row r="120" spans="1:12">
      <c r="A120" s="8">
        <f t="shared" si="28"/>
        <v>415</v>
      </c>
      <c r="C120" s="35" t="s">
        <v>263</v>
      </c>
      <c r="D120" s="35"/>
      <c r="E120" s="32">
        <f ca="1">E72</f>
        <v>0</v>
      </c>
      <c r="F120" t="str">
        <f>"Line "&amp;A72&amp;""</f>
        <v>Line 223</v>
      </c>
      <c r="H120" s="8">
        <f t="shared" si="27"/>
        <v>415</v>
      </c>
    </row>
    <row r="121" spans="1:12">
      <c r="H121" s="8"/>
    </row>
    <row r="122" spans="1:12">
      <c r="C122" s="53" t="s">
        <v>264</v>
      </c>
      <c r="D122" s="55"/>
      <c r="E122" s="55"/>
      <c r="F122" s="55"/>
      <c r="G122" s="55"/>
    </row>
    <row r="123" spans="1:12">
      <c r="A123" s="13" t="s">
        <v>100</v>
      </c>
      <c r="B123" s="13"/>
      <c r="C123" s="13" t="s">
        <v>6</v>
      </c>
      <c r="E123" s="13" t="s">
        <v>134</v>
      </c>
      <c r="F123" s="13" t="s">
        <v>135</v>
      </c>
      <c r="G123" s="13" t="s">
        <v>136</v>
      </c>
      <c r="H123" s="13" t="str">
        <f>A123</f>
        <v>Line</v>
      </c>
    </row>
    <row r="124" spans="1:12">
      <c r="C124" s="11" t="s">
        <v>265</v>
      </c>
      <c r="D124" s="11"/>
    </row>
    <row r="125" spans="1:12">
      <c r="A125" s="8">
        <v>500</v>
      </c>
      <c r="C125" t="s">
        <v>266</v>
      </c>
      <c r="E125" s="32">
        <f>'18-OandM'!P10</f>
        <v>648895032.04825652</v>
      </c>
      <c r="F125" t="s">
        <v>267</v>
      </c>
      <c r="H125" s="8">
        <f t="shared" ref="H125:H160" si="29">A125</f>
        <v>500</v>
      </c>
      <c r="K125" s="21"/>
      <c r="L125" s="33"/>
    </row>
    <row r="126" spans="1:12">
      <c r="A126" s="8">
        <f>A125+1</f>
        <v>501</v>
      </c>
      <c r="C126" t="s">
        <v>268</v>
      </c>
      <c r="E126" s="32">
        <f>'19-AandG Corrected V1'!F46</f>
        <v>395523073.48193848</v>
      </c>
      <c r="F126" t="s">
        <v>269</v>
      </c>
      <c r="H126" s="8">
        <f t="shared" si="29"/>
        <v>501</v>
      </c>
      <c r="K126" s="21"/>
      <c r="L126" s="33"/>
    </row>
    <row r="127" spans="1:12">
      <c r="A127" s="8">
        <f t="shared" ref="A127:A137" si="30">A126+1</f>
        <v>502</v>
      </c>
      <c r="C127" t="s">
        <v>270</v>
      </c>
      <c r="E127" s="32">
        <f>'15-NUC'!C16</f>
        <v>7472552.4640722312</v>
      </c>
      <c r="F127" t="s">
        <v>271</v>
      </c>
      <c r="H127" s="8">
        <f t="shared" si="29"/>
        <v>502</v>
      </c>
      <c r="K127" s="21"/>
      <c r="L127" s="33"/>
    </row>
    <row r="128" spans="1:12">
      <c r="A128" s="8">
        <f t="shared" si="30"/>
        <v>503</v>
      </c>
      <c r="C128" t="s">
        <v>272</v>
      </c>
      <c r="E128" s="32">
        <f>'11-Depreciation'!O15+'11-Depreciation'!C61</f>
        <v>497742978.89928067</v>
      </c>
      <c r="F128" t="s">
        <v>273</v>
      </c>
      <c r="H128" s="8">
        <f t="shared" si="29"/>
        <v>503</v>
      </c>
      <c r="K128" s="21"/>
      <c r="L128" s="33"/>
    </row>
    <row r="129" spans="1:12">
      <c r="A129" s="8">
        <f t="shared" si="30"/>
        <v>504</v>
      </c>
      <c r="C129" s="17" t="s">
        <v>274</v>
      </c>
      <c r="E129" s="32">
        <f>'11-Depreciation'!F131</f>
        <v>2482563.4968008399</v>
      </c>
      <c r="F129" t="s">
        <v>275</v>
      </c>
      <c r="H129" s="8">
        <f t="shared" si="29"/>
        <v>504</v>
      </c>
      <c r="K129" s="21"/>
      <c r="L129" s="33"/>
    </row>
    <row r="130" spans="1:12">
      <c r="A130" s="8">
        <f t="shared" si="30"/>
        <v>505</v>
      </c>
      <c r="C130" t="s">
        <v>276</v>
      </c>
      <c r="E130" s="32">
        <f ca="1">'8-AbandonedPlant'!I14</f>
        <v>0</v>
      </c>
      <c r="F130" t="s">
        <v>277</v>
      </c>
      <c r="H130" s="8">
        <f t="shared" si="29"/>
        <v>505</v>
      </c>
      <c r="K130" s="21"/>
      <c r="L130" s="33"/>
    </row>
    <row r="131" spans="1:12">
      <c r="A131" s="8">
        <f t="shared" si="30"/>
        <v>506</v>
      </c>
      <c r="C131" t="s">
        <v>278</v>
      </c>
      <c r="E131" s="32">
        <f ca="1">E73</f>
        <v>714432393.80557883</v>
      </c>
      <c r="F131" t="str">
        <f>"Line "&amp;A73&amp;""</f>
        <v>Line 224</v>
      </c>
      <c r="H131" s="8">
        <f t="shared" si="29"/>
        <v>506</v>
      </c>
      <c r="K131" s="21"/>
      <c r="L131" s="33"/>
    </row>
    <row r="132" spans="1:12">
      <c r="A132" s="8">
        <f t="shared" si="30"/>
        <v>507</v>
      </c>
      <c r="C132" t="s">
        <v>279</v>
      </c>
      <c r="E132" s="32">
        <f>E93</f>
        <v>136508486.6180096</v>
      </c>
      <c r="F132" t="str">
        <f>"Line "&amp;A93&amp;""</f>
        <v>Line 311</v>
      </c>
      <c r="H132" s="8">
        <f t="shared" si="29"/>
        <v>507</v>
      </c>
      <c r="K132" s="21"/>
      <c r="L132" s="33"/>
    </row>
    <row r="133" spans="1:12">
      <c r="A133" s="8">
        <f t="shared" si="30"/>
        <v>508</v>
      </c>
      <c r="C133" t="s">
        <v>280</v>
      </c>
      <c r="E133" s="32">
        <f ca="1">E110</f>
        <v>180381669.64262652</v>
      </c>
      <c r="F133" t="str">
        <f>"Line "&amp;A110&amp;""</f>
        <v>Line 408</v>
      </c>
      <c r="H133" s="8">
        <f t="shared" si="29"/>
        <v>508</v>
      </c>
      <c r="K133" s="21"/>
      <c r="L133" s="33"/>
    </row>
    <row r="134" spans="1:12">
      <c r="A134" s="8">
        <f t="shared" si="30"/>
        <v>509</v>
      </c>
      <c r="C134" t="s">
        <v>55</v>
      </c>
      <c r="E134" s="32">
        <f>-'20-RevenueCredits Corrected V1'!H10</f>
        <v>-11231338</v>
      </c>
      <c r="F134" t="s">
        <v>281</v>
      </c>
      <c r="G134" t="s">
        <v>282</v>
      </c>
      <c r="H134" s="8">
        <f t="shared" si="29"/>
        <v>509</v>
      </c>
      <c r="K134" s="21"/>
      <c r="L134" s="33"/>
    </row>
    <row r="135" spans="1:12">
      <c r="A135" s="8">
        <f t="shared" si="30"/>
        <v>510</v>
      </c>
      <c r="C135" t="s">
        <v>283</v>
      </c>
      <c r="E135" s="32">
        <f>-'21-NPandS'!C39</f>
        <v>-17690454.906901166</v>
      </c>
      <c r="F135" t="s">
        <v>284</v>
      </c>
      <c r="G135" t="s">
        <v>282</v>
      </c>
      <c r="H135" s="8">
        <f t="shared" si="29"/>
        <v>510</v>
      </c>
      <c r="K135" s="21"/>
      <c r="L135" s="33"/>
    </row>
    <row r="136" spans="1:12">
      <c r="A136" s="8">
        <f t="shared" si="30"/>
        <v>511</v>
      </c>
      <c r="C136" t="s">
        <v>285</v>
      </c>
      <c r="E136" s="26">
        <f>'17-RegAssets-1'!E27</f>
        <v>0</v>
      </c>
      <c r="F136" t="s">
        <v>286</v>
      </c>
      <c r="G136" t="s">
        <v>287</v>
      </c>
      <c r="H136" s="8">
        <f t="shared" si="29"/>
        <v>511</v>
      </c>
      <c r="K136" s="21"/>
      <c r="L136" s="33"/>
    </row>
    <row r="137" spans="1:12">
      <c r="A137" s="8">
        <f t="shared" si="30"/>
        <v>512</v>
      </c>
      <c r="C137" s="12" t="s">
        <v>288</v>
      </c>
      <c r="D137" s="12"/>
      <c r="E137" s="69">
        <f ca="1">SUM(E125:E136)</f>
        <v>2554516957.5496626</v>
      </c>
      <c r="F137" t="str">
        <f>"Sum of Lines "&amp;A125&amp;" to Line "&amp;A136&amp;""</f>
        <v>Sum of Lines 500 to Line 511</v>
      </c>
      <c r="H137" s="8">
        <f t="shared" si="29"/>
        <v>512</v>
      </c>
      <c r="K137" s="21"/>
      <c r="L137" s="33"/>
    </row>
    <row r="138" spans="1:12">
      <c r="H138" s="8"/>
    </row>
    <row r="139" spans="1:12">
      <c r="C139" s="11" t="s">
        <v>289</v>
      </c>
      <c r="D139" s="11"/>
      <c r="H139" s="8"/>
    </row>
    <row r="140" spans="1:12">
      <c r="A140" s="8">
        <f>+A137+1</f>
        <v>513</v>
      </c>
      <c r="C140" t="s">
        <v>290</v>
      </c>
      <c r="E140" s="374">
        <f>'25-RFandUFactors'!E21</f>
        <v>7.5170000000000011E-3</v>
      </c>
      <c r="F140" t="s">
        <v>291</v>
      </c>
      <c r="H140" s="8">
        <f t="shared" si="29"/>
        <v>513</v>
      </c>
    </row>
    <row r="141" spans="1:12">
      <c r="A141" s="8">
        <f>A140+1</f>
        <v>514</v>
      </c>
      <c r="C141" t="s">
        <v>292</v>
      </c>
      <c r="D141" s="12"/>
      <c r="E141" s="42">
        <f>'25-RFandUFactors'!E22</f>
        <v>2.7300000000000002E-4</v>
      </c>
      <c r="F141" t="s">
        <v>293</v>
      </c>
      <c r="H141" s="8">
        <f t="shared" si="29"/>
        <v>514</v>
      </c>
    </row>
    <row r="142" spans="1:12">
      <c r="A142" s="8">
        <f>A141+1</f>
        <v>515</v>
      </c>
      <c r="C142" s="12" t="s">
        <v>294</v>
      </c>
      <c r="D142" s="12"/>
      <c r="E142" s="69">
        <f ca="1">(E140+E141)*E137</f>
        <v>19899687.099311873</v>
      </c>
      <c r="F142" s="17" t="str">
        <f>"Line "&amp;A137&amp;" * (Line "&amp;A140&amp;" + Line "&amp;A141&amp;")"</f>
        <v>Line 512 * (Line 513 + Line 514)</v>
      </c>
      <c r="H142" s="8">
        <f t="shared" si="29"/>
        <v>515</v>
      </c>
    </row>
    <row r="143" spans="1:12">
      <c r="H143" s="8"/>
    </row>
    <row r="144" spans="1:12">
      <c r="A144" s="8">
        <f>A142+1</f>
        <v>516</v>
      </c>
      <c r="C144" s="12" t="s">
        <v>295</v>
      </c>
      <c r="D144" s="12"/>
      <c r="E144" s="69">
        <f ca="1">E142+E137</f>
        <v>2574416644.6489744</v>
      </c>
      <c r="F144" t="str">
        <f>"Line "&amp;A137&amp;" + Line "&amp;A142&amp;""</f>
        <v>Line 512 + Line 515</v>
      </c>
      <c r="H144" s="8">
        <f t="shared" si="29"/>
        <v>516</v>
      </c>
      <c r="K144" s="40"/>
    </row>
    <row r="145" spans="1:10">
      <c r="H145" s="8"/>
    </row>
    <row r="146" spans="1:10">
      <c r="A146"/>
      <c r="B146"/>
      <c r="C146" s="53" t="s">
        <v>296</v>
      </c>
      <c r="D146" s="55"/>
      <c r="E146" s="55"/>
      <c r="F146" s="55"/>
      <c r="G146" s="55"/>
    </row>
    <row r="147" spans="1:10">
      <c r="A147" s="13" t="s">
        <v>100</v>
      </c>
      <c r="B147" s="13"/>
      <c r="C147" s="13" t="s">
        <v>6</v>
      </c>
      <c r="E147" s="13" t="s">
        <v>134</v>
      </c>
      <c r="F147" s="13" t="s">
        <v>135</v>
      </c>
      <c r="G147" s="13" t="s">
        <v>136</v>
      </c>
      <c r="H147" s="13" t="str">
        <f>A147</f>
        <v>Line</v>
      </c>
    </row>
    <row r="148" spans="1:10">
      <c r="A148" s="8">
        <v>600</v>
      </c>
      <c r="C148" t="s">
        <v>295</v>
      </c>
      <c r="E148" s="32">
        <f ca="1">+E144</f>
        <v>2574416644.6489744</v>
      </c>
      <c r="F148" t="str">
        <f>"Line "&amp;A144&amp;""</f>
        <v>Line 516</v>
      </c>
      <c r="H148" s="8">
        <f t="shared" si="29"/>
        <v>600</v>
      </c>
    </row>
    <row r="149" spans="1:10">
      <c r="A149" s="8">
        <f>A148+1</f>
        <v>601</v>
      </c>
      <c r="C149" t="s">
        <v>297</v>
      </c>
      <c r="E149" s="32">
        <f ca="1">'2-ITRR'!D34</f>
        <v>302914710.76160657</v>
      </c>
      <c r="F149" t="str">
        <f>CONCATENATE("2-ITRR, L. ",'2-ITRR'!A34)</f>
        <v>2-ITRR, L. 209</v>
      </c>
      <c r="H149" s="8">
        <f t="shared" si="29"/>
        <v>601</v>
      </c>
    </row>
    <row r="150" spans="1:10">
      <c r="A150" s="8">
        <f>A149+1</f>
        <v>602</v>
      </c>
      <c r="C150" t="s">
        <v>14</v>
      </c>
      <c r="E150" s="26">
        <f>IF(G1&gt;2020,'4-ATA Corrected V1'!B95,0)</f>
        <v>289713269</v>
      </c>
      <c r="F150" t="str">
        <f>CONCATENATE("4-ATA, L. ",'4-ATA Corrected V1'!A95)</f>
        <v>4-ATA, L. 400</v>
      </c>
      <c r="G150" s="44"/>
      <c r="H150" s="8">
        <f t="shared" si="29"/>
        <v>602</v>
      </c>
    </row>
    <row r="151" spans="1:10">
      <c r="A151" s="8">
        <f>A150+1</f>
        <v>603</v>
      </c>
      <c r="C151" s="12" t="s">
        <v>298</v>
      </c>
      <c r="E151" s="69">
        <f ca="1">SUM(E148:E150)</f>
        <v>3167044624.4105811</v>
      </c>
      <c r="F151" t="str">
        <f>"Sum of Lines "&amp;A148&amp;" to Line "&amp;A150&amp;""</f>
        <v>Sum of Lines 600 to Line 602</v>
      </c>
      <c r="H151" s="8">
        <f t="shared" si="29"/>
        <v>603</v>
      </c>
    </row>
    <row r="152" spans="1:10">
      <c r="H152" s="8"/>
    </row>
    <row r="153" spans="1:10">
      <c r="A153"/>
      <c r="B153"/>
      <c r="C153" s="53" t="s">
        <v>299</v>
      </c>
      <c r="D153" s="55"/>
      <c r="E153" s="55"/>
      <c r="F153" s="55"/>
      <c r="G153" s="55"/>
    </row>
    <row r="154" spans="1:10">
      <c r="A154" s="13" t="s">
        <v>100</v>
      </c>
      <c r="B154" s="13"/>
      <c r="C154" s="13" t="s">
        <v>6</v>
      </c>
      <c r="E154" s="13" t="s">
        <v>134</v>
      </c>
      <c r="F154" s="13" t="s">
        <v>135</v>
      </c>
      <c r="G154" s="13" t="s">
        <v>136</v>
      </c>
      <c r="H154" s="13" t="str">
        <f>A154</f>
        <v>Line</v>
      </c>
    </row>
    <row r="155" spans="1:10">
      <c r="A155" s="8">
        <v>700</v>
      </c>
      <c r="C155" t="s">
        <v>300</v>
      </c>
      <c r="E155" s="19">
        <f>'25-RFandUFactors'!E23</f>
        <v>2.9529999999999999E-3</v>
      </c>
      <c r="F155" t="s">
        <v>301</v>
      </c>
      <c r="G155" s="13"/>
      <c r="H155" s="8">
        <f t="shared" si="29"/>
        <v>700</v>
      </c>
    </row>
    <row r="156" spans="1:10">
      <c r="E156" s="19"/>
      <c r="F156" s="13"/>
      <c r="G156" s="13"/>
      <c r="H156" s="8"/>
    </row>
    <row r="157" spans="1:10">
      <c r="A157" s="8">
        <f>A155+1</f>
        <v>701</v>
      </c>
      <c r="C157" t="s">
        <v>302</v>
      </c>
      <c r="E157" s="32">
        <f ca="1">E155*E151</f>
        <v>9352282.7758844458</v>
      </c>
      <c r="F157" t="str">
        <f>"Line "&amp;A155&amp;" * Line "&amp;A151&amp;""</f>
        <v>Line 700 * Line 603</v>
      </c>
      <c r="G157" s="13"/>
      <c r="H157" s="8">
        <f t="shared" si="29"/>
        <v>701</v>
      </c>
    </row>
    <row r="158" spans="1:10">
      <c r="A158" s="8">
        <f t="shared" ref="A158:A160" si="31">A157+1</f>
        <v>702</v>
      </c>
      <c r="C158" t="s">
        <v>303</v>
      </c>
      <c r="E158" s="32">
        <f>'23-RetailSGTax'!D38</f>
        <v>4649585.8590092398</v>
      </c>
      <c r="F158" t="s">
        <v>304</v>
      </c>
      <c r="H158" s="8">
        <f t="shared" si="29"/>
        <v>702</v>
      </c>
    </row>
    <row r="159" spans="1:10">
      <c r="A159" s="8">
        <f t="shared" si="31"/>
        <v>703</v>
      </c>
      <c r="C159" t="s">
        <v>298</v>
      </c>
      <c r="E159" s="26">
        <f ca="1">E151</f>
        <v>3167044624.4105811</v>
      </c>
      <c r="F159" t="str">
        <f>"Line "&amp;A151&amp;""</f>
        <v>Line 603</v>
      </c>
      <c r="H159" s="8">
        <f t="shared" si="29"/>
        <v>703</v>
      </c>
    </row>
    <row r="160" spans="1:10">
      <c r="A160" s="8">
        <f t="shared" si="31"/>
        <v>704</v>
      </c>
      <c r="C160" s="12" t="s">
        <v>305</v>
      </c>
      <c r="D160" s="33"/>
      <c r="E160" s="69">
        <f ca="1">SUM(E157:E159)</f>
        <v>3181046493.045475</v>
      </c>
      <c r="F160" t="str">
        <f>"Sum of Lines "&amp;A157&amp;" to Line "&amp;A159&amp;""</f>
        <v>Sum of Lines 701 to Line 703</v>
      </c>
      <c r="H160" s="8">
        <f t="shared" si="29"/>
        <v>704</v>
      </c>
      <c r="J160" s="33"/>
    </row>
    <row r="162" spans="3:7">
      <c r="E162" s="43"/>
      <c r="F162" s="38"/>
    </row>
    <row r="163" spans="3:7">
      <c r="C163" s="16" t="s">
        <v>306</v>
      </c>
    </row>
    <row r="164" spans="3:7">
      <c r="C164" s="835" t="s">
        <v>307</v>
      </c>
      <c r="D164" s="835"/>
      <c r="E164" s="835"/>
      <c r="F164" s="835"/>
      <c r="G164" s="835"/>
    </row>
    <row r="165" spans="3:7">
      <c r="C165" s="836" t="s">
        <v>308</v>
      </c>
      <c r="D165" s="836"/>
      <c r="E165" s="836"/>
      <c r="F165" s="836"/>
      <c r="G165" s="836"/>
    </row>
    <row r="166" spans="3:7" ht="15" customHeight="1">
      <c r="C166" s="837" t="s">
        <v>309</v>
      </c>
      <c r="D166" s="837"/>
      <c r="E166" s="837"/>
      <c r="F166" s="837"/>
      <c r="G166" s="837"/>
    </row>
    <row r="167" spans="3:7">
      <c r="C167" s="837"/>
      <c r="D167" s="837"/>
      <c r="E167" s="837"/>
      <c r="F167" s="837"/>
      <c r="G167" s="837"/>
    </row>
    <row r="168" spans="3:7">
      <c r="C168" s="837"/>
      <c r="D168" s="837"/>
      <c r="E168" s="837"/>
      <c r="F168" s="837"/>
      <c r="G168" s="837"/>
    </row>
    <row r="169" spans="3:7">
      <c r="C169" s="835" t="s">
        <v>310</v>
      </c>
      <c r="D169" s="835"/>
      <c r="E169" s="835"/>
      <c r="F169" s="835"/>
      <c r="G169" s="835"/>
    </row>
  </sheetData>
  <mergeCells count="4">
    <mergeCell ref="C169:G169"/>
    <mergeCell ref="C164:G164"/>
    <mergeCell ref="C165:G165"/>
    <mergeCell ref="C166:G168"/>
  </mergeCells>
  <printOptions horizontalCentered="1"/>
  <pageMargins left="1" right="1" top="1" bottom="1" header="0.5" footer="0.5"/>
  <pageSetup scale="62"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rowBreaks count="1" manualBreakCount="1">
    <brk id="92" max="16383" man="1"/>
  </rowBreaks>
  <customProperties>
    <customPr name="_pios_id" r:id="rId2"/>
    <customPr name="EpmWorksheetKeyString_GUID" r:id="rId3"/>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L160"/>
  <sheetViews>
    <sheetView tabSelected="1" view="pageBreakPreview" zoomScaleSheetLayoutView="100" workbookViewId="0">
      <selection activeCell="E174" sqref="E174"/>
    </sheetView>
  </sheetViews>
  <sheetFormatPr defaultColWidth="9.1796875" defaultRowHeight="14.5"/>
  <cols>
    <col min="1" max="1" width="6.7265625" bestFit="1" customWidth="1"/>
    <col min="2" max="2" width="9.54296875" customWidth="1"/>
    <col min="3" max="3" width="8.54296875" customWidth="1"/>
    <col min="4" max="4" width="17.81640625" customWidth="1"/>
    <col min="5" max="5" width="19.453125" bestFit="1" customWidth="1"/>
    <col min="6" max="6" width="33.453125" bestFit="1" customWidth="1"/>
    <col min="7" max="7" width="4.7265625" bestFit="1" customWidth="1"/>
    <col min="8" max="9" width="9.1796875" customWidth="1"/>
    <col min="10" max="10" width="13.453125" customWidth="1"/>
    <col min="11" max="11" width="25.1796875" customWidth="1"/>
    <col min="12" max="12" width="10.81640625" bestFit="1" customWidth="1"/>
  </cols>
  <sheetData>
    <row r="1" spans="1:12">
      <c r="B1" s="12" t="s">
        <v>65</v>
      </c>
      <c r="E1" s="15"/>
      <c r="F1" s="15" t="str">
        <f>CONCATENATE("Prior Year: ",'1-BaseTRR'!$G$2)</f>
        <v>Prior Year: 2021</v>
      </c>
    </row>
    <row r="2" spans="1:12">
      <c r="B2" s="119" t="s">
        <v>131</v>
      </c>
      <c r="C2" s="50"/>
    </row>
    <row r="4" spans="1:12">
      <c r="A4" s="13" t="s">
        <v>100</v>
      </c>
      <c r="G4" s="13" t="str">
        <f>A4</f>
        <v>Line</v>
      </c>
    </row>
    <row r="5" spans="1:12">
      <c r="B5" s="58" t="s">
        <v>1898</v>
      </c>
      <c r="C5" s="55"/>
      <c r="D5" s="55"/>
      <c r="E5" s="55"/>
      <c r="F5" s="55"/>
    </row>
    <row r="6" spans="1:12">
      <c r="B6" s="16" t="s">
        <v>1899</v>
      </c>
      <c r="C6" s="16" t="s">
        <v>1900</v>
      </c>
      <c r="D6" s="16" t="s">
        <v>1901</v>
      </c>
      <c r="E6" s="16" t="s">
        <v>1902</v>
      </c>
      <c r="F6" s="13" t="s">
        <v>594</v>
      </c>
      <c r="K6" s="784"/>
      <c r="L6" s="783"/>
    </row>
    <row r="7" spans="1:12">
      <c r="A7" s="8">
        <v>100</v>
      </c>
      <c r="B7" s="50"/>
      <c r="C7" s="50" t="s">
        <v>1903</v>
      </c>
      <c r="D7" s="50">
        <v>365</v>
      </c>
      <c r="E7" s="375">
        <v>7.5170000000000002E-3</v>
      </c>
      <c r="F7" s="374" t="s">
        <v>1904</v>
      </c>
      <c r="G7" s="8">
        <f>A7</f>
        <v>100</v>
      </c>
    </row>
    <row r="8" spans="1:12">
      <c r="A8" s="8">
        <f>A7+1</f>
        <v>101</v>
      </c>
      <c r="B8" s="373" t="s">
        <v>1728</v>
      </c>
      <c r="C8" s="50"/>
      <c r="D8" s="50"/>
      <c r="E8" s="375"/>
      <c r="F8" s="374"/>
      <c r="G8" s="8">
        <f>A8</f>
        <v>101</v>
      </c>
    </row>
    <row r="9" spans="1:12">
      <c r="A9" s="8"/>
      <c r="G9" s="8"/>
    </row>
    <row r="10" spans="1:12">
      <c r="A10" s="8"/>
      <c r="B10" s="58" t="s">
        <v>1905</v>
      </c>
      <c r="C10" s="55"/>
      <c r="D10" s="55"/>
      <c r="E10" s="55"/>
      <c r="F10" s="55"/>
      <c r="G10" s="8"/>
    </row>
    <row r="11" spans="1:12">
      <c r="A11" s="8"/>
      <c r="B11" s="12" t="s">
        <v>1899</v>
      </c>
      <c r="C11" s="12" t="s">
        <v>1900</v>
      </c>
      <c r="D11" s="12" t="s">
        <v>1901</v>
      </c>
      <c r="E11" s="12" t="s">
        <v>292</v>
      </c>
      <c r="F11" s="12" t="s">
        <v>594</v>
      </c>
      <c r="G11" s="8"/>
    </row>
    <row r="12" spans="1:12">
      <c r="A12" s="8">
        <v>200</v>
      </c>
      <c r="B12" s="50"/>
      <c r="C12" s="50" t="s">
        <v>1903</v>
      </c>
      <c r="D12" s="50">
        <v>365</v>
      </c>
      <c r="E12" s="375">
        <v>2.7300000000000002E-4</v>
      </c>
      <c r="F12" s="374" t="s">
        <v>1906</v>
      </c>
      <c r="G12" s="8">
        <f>A12</f>
        <v>200</v>
      </c>
    </row>
    <row r="13" spans="1:12">
      <c r="A13" s="8">
        <f>A12+1</f>
        <v>201</v>
      </c>
      <c r="B13" s="373" t="s">
        <v>1728</v>
      </c>
      <c r="C13" s="50"/>
      <c r="D13" s="50"/>
      <c r="E13" s="50"/>
      <c r="G13" s="8">
        <f>A13</f>
        <v>201</v>
      </c>
    </row>
    <row r="14" spans="1:12">
      <c r="A14" s="8"/>
      <c r="G14" s="8"/>
    </row>
    <row r="15" spans="1:12">
      <c r="A15" s="8"/>
      <c r="B15" s="58" t="s">
        <v>1907</v>
      </c>
      <c r="C15" s="55"/>
      <c r="D15" s="55"/>
      <c r="E15" s="55"/>
      <c r="F15" s="55"/>
      <c r="G15" s="8"/>
    </row>
    <row r="16" spans="1:12">
      <c r="A16" s="8"/>
      <c r="B16" s="12" t="s">
        <v>1899</v>
      </c>
      <c r="C16" s="12" t="s">
        <v>1900</v>
      </c>
      <c r="D16" s="12" t="s">
        <v>1901</v>
      </c>
      <c r="E16" s="12" t="s">
        <v>1908</v>
      </c>
      <c r="F16" s="12" t="s">
        <v>594</v>
      </c>
      <c r="G16" s="8"/>
    </row>
    <row r="17" spans="1:7">
      <c r="A17" s="8">
        <v>300</v>
      </c>
      <c r="B17" s="50"/>
      <c r="C17" s="50" t="s">
        <v>1903</v>
      </c>
      <c r="D17" s="50">
        <v>365</v>
      </c>
      <c r="E17" s="375">
        <v>2.9529999999999999E-3</v>
      </c>
      <c r="F17" s="374" t="s">
        <v>1909</v>
      </c>
      <c r="G17" s="8">
        <f>A17</f>
        <v>300</v>
      </c>
    </row>
    <row r="18" spans="1:7">
      <c r="A18" s="8">
        <f>A17+1</f>
        <v>301</v>
      </c>
      <c r="B18" s="373" t="s">
        <v>1728</v>
      </c>
      <c r="C18" s="50"/>
      <c r="D18" s="50"/>
      <c r="E18" s="50"/>
      <c r="G18" s="8">
        <f>A18</f>
        <v>301</v>
      </c>
    </row>
    <row r="19" spans="1:7">
      <c r="A19" s="8"/>
      <c r="G19" s="8"/>
    </row>
    <row r="20" spans="1:7">
      <c r="A20" s="8"/>
      <c r="B20" s="58" t="s">
        <v>1910</v>
      </c>
      <c r="C20" s="55"/>
      <c r="D20" s="55"/>
      <c r="E20" s="55"/>
      <c r="F20" s="55"/>
      <c r="G20" s="8"/>
    </row>
    <row r="21" spans="1:7">
      <c r="A21" s="8">
        <v>400</v>
      </c>
      <c r="B21" s="12" t="s">
        <v>1902</v>
      </c>
      <c r="C21" s="12"/>
      <c r="D21" s="12"/>
      <c r="E21" s="19">
        <f>((E7*D7)+(E8*D8))/(D7+D8)</f>
        <v>7.5170000000000011E-3</v>
      </c>
      <c r="F21" s="19"/>
      <c r="G21" s="8">
        <f>A21</f>
        <v>400</v>
      </c>
    </row>
    <row r="22" spans="1:7">
      <c r="A22" s="8">
        <f>A21+1</f>
        <v>401</v>
      </c>
      <c r="B22" s="12" t="s">
        <v>292</v>
      </c>
      <c r="C22" s="12"/>
      <c r="D22" s="12"/>
      <c r="E22" s="19">
        <f>((E12*D12)+(E13*D13))/(D12+D13)</f>
        <v>2.7300000000000002E-4</v>
      </c>
      <c r="F22" s="19"/>
      <c r="G22" s="8">
        <f>A22</f>
        <v>401</v>
      </c>
    </row>
    <row r="23" spans="1:7">
      <c r="A23" s="8">
        <f>A22+1</f>
        <v>402</v>
      </c>
      <c r="B23" s="12" t="s">
        <v>300</v>
      </c>
      <c r="C23" s="12"/>
      <c r="D23" s="12"/>
      <c r="E23" s="19">
        <f>((E17*D17)+(E18*D18))/(D17+D18)</f>
        <v>2.9529999999999999E-3</v>
      </c>
      <c r="F23" s="19"/>
      <c r="G23" s="8">
        <f>A23</f>
        <v>402</v>
      </c>
    </row>
    <row r="28" spans="1:7">
      <c r="D28" s="17"/>
    </row>
    <row r="144" spans="11:11">
      <c r="K144" t="e">
        <f>E30/E144*E151</f>
        <v>#DIV/0!</v>
      </c>
    </row>
    <row r="160" spans="10:10">
      <c r="J160">
        <f>E160-D160</f>
        <v>0</v>
      </c>
    </row>
  </sheetData>
  <printOptions horizontalCentered="1"/>
  <pageMargins left="1" right="1" top="1" bottom="1" header="0.5" footer="0.5"/>
  <pageSetup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160"/>
  <sheetViews>
    <sheetView tabSelected="1" view="pageBreakPreview" topLeftCell="A31" zoomScaleNormal="85" zoomScaleSheetLayoutView="100" zoomScalePageLayoutView="70" workbookViewId="0">
      <selection activeCell="E174" sqref="E174"/>
    </sheetView>
  </sheetViews>
  <sheetFormatPr defaultColWidth="9.1796875" defaultRowHeight="14.5"/>
  <cols>
    <col min="1" max="1" width="4.7265625" bestFit="1" customWidth="1"/>
    <col min="2" max="2" width="55.54296875" bestFit="1" customWidth="1"/>
    <col min="3" max="3" width="2.54296875" customWidth="1"/>
    <col min="4" max="4" width="16.453125" bestFit="1" customWidth="1"/>
    <col min="5" max="5" width="18.81640625" bestFit="1" customWidth="1"/>
    <col min="6" max="6" width="15.54296875" bestFit="1" customWidth="1"/>
    <col min="7" max="7" width="47.453125" customWidth="1"/>
    <col min="8" max="8" width="7.7265625" customWidth="1"/>
    <col min="9" max="9" width="4.7265625" bestFit="1" customWidth="1"/>
    <col min="10" max="10" width="13.453125" customWidth="1"/>
    <col min="11" max="11" width="25.1796875" customWidth="1"/>
  </cols>
  <sheetData>
    <row r="1" spans="1:9">
      <c r="B1" s="12" t="s">
        <v>67</v>
      </c>
      <c r="F1" s="15"/>
      <c r="H1" s="15" t="str">
        <f>CONCATENATE("Rate Year: ",'1-BaseTRR'!$G$1)</f>
        <v>Rate Year: 2023</v>
      </c>
    </row>
    <row r="2" spans="1:9">
      <c r="B2" s="119" t="s">
        <v>131</v>
      </c>
      <c r="F2" s="15"/>
      <c r="H2" s="15"/>
    </row>
    <row r="3" spans="1:9">
      <c r="D3" s="13" t="s">
        <v>371</v>
      </c>
      <c r="E3" s="13" t="s">
        <v>372</v>
      </c>
      <c r="F3" s="13" t="s">
        <v>373</v>
      </c>
    </row>
    <row r="4" spans="1:9">
      <c r="D4" s="8" t="s">
        <v>1911</v>
      </c>
      <c r="E4" s="8" t="s">
        <v>1912</v>
      </c>
    </row>
    <row r="5" spans="1:9">
      <c r="A5" s="13" t="s">
        <v>100</v>
      </c>
      <c r="B5" s="13"/>
      <c r="D5" s="169" t="s">
        <v>1913</v>
      </c>
      <c r="E5" s="169" t="s">
        <v>1913</v>
      </c>
      <c r="F5" s="169" t="s">
        <v>594</v>
      </c>
      <c r="G5" s="13"/>
      <c r="H5" s="13"/>
      <c r="I5" s="13" t="str">
        <f>A5</f>
        <v>Line</v>
      </c>
    </row>
    <row r="6" spans="1:9">
      <c r="A6" s="8">
        <v>1</v>
      </c>
      <c r="D6" s="66">
        <f>'24-Allocators'!$C$52</f>
        <v>0.36502683949984821</v>
      </c>
      <c r="E6" s="66">
        <f>'24-Allocators'!$C$53</f>
        <v>0.63497316050015162</v>
      </c>
      <c r="F6" t="s">
        <v>1914</v>
      </c>
      <c r="G6" s="13"/>
      <c r="H6" s="13"/>
      <c r="I6" s="8">
        <f>A6</f>
        <v>1</v>
      </c>
    </row>
    <row r="7" spans="1:9">
      <c r="A7" s="8"/>
      <c r="G7" s="13"/>
      <c r="H7" s="13"/>
      <c r="I7" s="8"/>
    </row>
    <row r="8" spans="1:9">
      <c r="A8" s="13"/>
      <c r="B8" s="53" t="s">
        <v>173</v>
      </c>
      <c r="C8" s="55"/>
      <c r="D8" s="55"/>
      <c r="E8" s="55"/>
      <c r="F8" s="55"/>
      <c r="G8" s="355"/>
      <c r="H8" s="355"/>
      <c r="I8" s="8"/>
    </row>
    <row r="9" spans="1:9">
      <c r="A9" s="13" t="s">
        <v>100</v>
      </c>
      <c r="B9" s="13" t="s">
        <v>6</v>
      </c>
      <c r="D9" s="13" t="s">
        <v>715</v>
      </c>
      <c r="E9" s="13" t="s">
        <v>716</v>
      </c>
      <c r="F9" s="13" t="s">
        <v>465</v>
      </c>
      <c r="G9" s="13" t="s">
        <v>594</v>
      </c>
      <c r="H9" s="13" t="s">
        <v>136</v>
      </c>
      <c r="I9" s="13" t="s">
        <v>100</v>
      </c>
    </row>
    <row r="10" spans="1:9">
      <c r="A10" s="8"/>
      <c r="B10" s="11" t="s">
        <v>137</v>
      </c>
      <c r="C10" s="11"/>
      <c r="D10" s="377"/>
      <c r="E10" s="377"/>
      <c r="F10" s="377"/>
      <c r="I10" s="8"/>
    </row>
    <row r="11" spans="1:9">
      <c r="A11" s="8">
        <v>100</v>
      </c>
      <c r="B11" t="s">
        <v>138</v>
      </c>
      <c r="D11" s="32">
        <f>'7-PlantInService'!P49</f>
        <v>5236281200</v>
      </c>
      <c r="E11" s="32">
        <f>'7-PlantInService'!P74</f>
        <v>9603424396</v>
      </c>
      <c r="F11" s="32">
        <f>SUM(D11:E11)</f>
        <v>14839705596</v>
      </c>
      <c r="G11" t="s">
        <v>1915</v>
      </c>
      <c r="I11" s="8">
        <f>A11</f>
        <v>100</v>
      </c>
    </row>
    <row r="12" spans="1:9">
      <c r="A12" s="8">
        <f>A11+1</f>
        <v>101</v>
      </c>
      <c r="B12" t="s">
        <v>141</v>
      </c>
      <c r="D12" s="32">
        <f>'7-PlantInService'!E128</f>
        <v>471962347.1837647</v>
      </c>
      <c r="E12" s="32">
        <f>'7-PlantInService'!F128</f>
        <v>875846218.3613354</v>
      </c>
      <c r="F12" s="32">
        <f>SUM(D12:E12)</f>
        <v>1347808565.5451002</v>
      </c>
      <c r="G12" t="s">
        <v>1916</v>
      </c>
      <c r="I12" s="8">
        <f>A12</f>
        <v>101</v>
      </c>
    </row>
    <row r="13" spans="1:9">
      <c r="A13" s="8">
        <f>A12+1</f>
        <v>102</v>
      </c>
      <c r="B13" t="s">
        <v>143</v>
      </c>
      <c r="D13" s="26">
        <f ca="1">'8-AbandonedPlant'!M12</f>
        <v>0</v>
      </c>
      <c r="E13" s="26">
        <f ca="1">'8-AbandonedPlant'!M13</f>
        <v>0</v>
      </c>
      <c r="F13" s="26">
        <f ca="1">SUM(D13:E13)</f>
        <v>0</v>
      </c>
      <c r="G13" t="s">
        <v>1917</v>
      </c>
      <c r="I13" s="8">
        <f>A13</f>
        <v>102</v>
      </c>
    </row>
    <row r="14" spans="1:9">
      <c r="A14" s="8">
        <f>A13+1</f>
        <v>103</v>
      </c>
      <c r="B14" s="12" t="s">
        <v>145</v>
      </c>
      <c r="C14" s="12"/>
      <c r="D14" s="69">
        <f ca="1">SUM(D11:D13)</f>
        <v>5708243547.1837645</v>
      </c>
      <c r="E14" s="69">
        <f ca="1">SUM(E11:E13)</f>
        <v>10479270614.361336</v>
      </c>
      <c r="F14" s="69">
        <f ca="1">SUM(F11:F13)</f>
        <v>16187514161.545101</v>
      </c>
      <c r="G14" s="6" t="str">
        <f>"Sum of Lines "&amp;A11&amp;" to "&amp;A13&amp;""</f>
        <v>Sum of Lines 100 to 102</v>
      </c>
      <c r="H14" s="6"/>
      <c r="I14" s="8">
        <f>A14</f>
        <v>103</v>
      </c>
    </row>
    <row r="15" spans="1:9">
      <c r="A15" s="8"/>
      <c r="D15" s="33"/>
      <c r="E15" s="33"/>
      <c r="F15" s="33"/>
      <c r="I15" s="8"/>
    </row>
    <row r="16" spans="1:9">
      <c r="A16" s="8"/>
      <c r="B16" s="11" t="s">
        <v>146</v>
      </c>
      <c r="C16" s="11"/>
      <c r="D16" s="33"/>
      <c r="E16" s="33"/>
      <c r="F16" s="33"/>
      <c r="I16" s="8"/>
    </row>
    <row r="17" spans="1:9">
      <c r="A17" s="8">
        <f>A14+1</f>
        <v>104</v>
      </c>
      <c r="B17" t="s">
        <v>147</v>
      </c>
      <c r="D17" s="32">
        <f>'13-WorkCap'!F25</f>
        <v>32100895.518959083</v>
      </c>
      <c r="E17" s="32">
        <f>'13-WorkCap'!G25</f>
        <v>58873561.481040925</v>
      </c>
      <c r="F17" s="32">
        <f>SUM(D17:E17)</f>
        <v>90974457</v>
      </c>
      <c r="G17" t="s">
        <v>1918</v>
      </c>
      <c r="I17" s="8">
        <f>A17</f>
        <v>104</v>
      </c>
    </row>
    <row r="18" spans="1:9">
      <c r="A18" s="8">
        <f>A17+1</f>
        <v>105</v>
      </c>
      <c r="B18" t="s">
        <v>149</v>
      </c>
      <c r="D18" s="32">
        <f>'13-WorkCap'!$F$60*D6</f>
        <v>21211321.98483263</v>
      </c>
      <c r="E18" s="32">
        <f>'13-WorkCap'!$F$60*E6</f>
        <v>36897616.015167363</v>
      </c>
      <c r="F18" s="32">
        <f>SUM(D18:E18)</f>
        <v>58108937.999999993</v>
      </c>
      <c r="G18" t="s">
        <v>1919</v>
      </c>
      <c r="I18" s="8">
        <f>A18</f>
        <v>105</v>
      </c>
    </row>
    <row r="19" spans="1:9">
      <c r="A19" s="8">
        <f>A18+1</f>
        <v>106</v>
      </c>
      <c r="B19" t="s">
        <v>151</v>
      </c>
      <c r="D19" s="26">
        <f>(D36+D37)/10</f>
        <v>38156370.67246981</v>
      </c>
      <c r="E19" s="26">
        <f>(E36+E37)/10</f>
        <v>66285439.880549669</v>
      </c>
      <c r="F19" s="26">
        <f>SUM(D19:E19)</f>
        <v>104441810.55301948</v>
      </c>
      <c r="G19" t="str">
        <f>"(Line "&amp;A36&amp;" + Line "&amp;A37&amp;") / 10"</f>
        <v>(Line 200 + Line 201) / 10</v>
      </c>
      <c r="I19" s="8">
        <f>A19</f>
        <v>106</v>
      </c>
    </row>
    <row r="20" spans="1:9">
      <c r="A20" s="8">
        <f>A19+1</f>
        <v>107</v>
      </c>
      <c r="B20" s="12" t="s">
        <v>152</v>
      </c>
      <c r="C20" s="12"/>
      <c r="D20" s="69">
        <f>SUM(D17:D19)</f>
        <v>91468588.176261514</v>
      </c>
      <c r="E20" s="69">
        <f>SUM(E17:E19)</f>
        <v>162056617.37675795</v>
      </c>
      <c r="F20" s="69">
        <f>SUM(F17:F19)</f>
        <v>253525205.55301946</v>
      </c>
      <c r="G20" s="6" t="str">
        <f>"Sum of Lines "&amp;A17&amp;" to "&amp;A19&amp;""</f>
        <v>Sum of Lines 104 to 106</v>
      </c>
      <c r="H20" s="6"/>
      <c r="I20" s="8">
        <f>A20</f>
        <v>107</v>
      </c>
    </row>
    <row r="21" spans="1:9">
      <c r="A21" s="8"/>
      <c r="D21" s="33"/>
      <c r="E21" s="33"/>
      <c r="F21" s="33"/>
      <c r="I21" s="8"/>
    </row>
    <row r="22" spans="1:9">
      <c r="A22" s="8"/>
      <c r="B22" s="11" t="s">
        <v>153</v>
      </c>
      <c r="C22" s="11"/>
      <c r="D22" s="33"/>
      <c r="E22" s="33"/>
      <c r="F22" s="33"/>
      <c r="I22" s="8"/>
    </row>
    <row r="23" spans="1:9">
      <c r="A23" s="8">
        <f>A20+1</f>
        <v>108</v>
      </c>
      <c r="B23" t="s">
        <v>154</v>
      </c>
      <c r="D23" s="32">
        <f>-'10-AccDep'!P51</f>
        <v>-1289381455</v>
      </c>
      <c r="E23" s="32">
        <f>-'10-AccDep'!P76</f>
        <v>-2175111731</v>
      </c>
      <c r="F23" s="32">
        <f>SUM(D23:E23)</f>
        <v>-3464493186</v>
      </c>
      <c r="G23" t="s">
        <v>1920</v>
      </c>
      <c r="I23" s="8">
        <f>A23</f>
        <v>108</v>
      </c>
    </row>
    <row r="24" spans="1:9">
      <c r="A24" s="8">
        <f>A23+1</f>
        <v>109</v>
      </c>
      <c r="B24" t="s">
        <v>157</v>
      </c>
      <c r="D24" s="26">
        <f>-'10-AccDep'!E128</f>
        <v>-162537774.69475508</v>
      </c>
      <c r="E24" s="26">
        <f>-'10-AccDep'!F128</f>
        <v>-286796871.29038715</v>
      </c>
      <c r="F24" s="26">
        <f>SUM(D24:E24)</f>
        <v>-449334645.98514223</v>
      </c>
      <c r="G24" t="s">
        <v>1921</v>
      </c>
      <c r="I24" s="8">
        <f>A24</f>
        <v>109</v>
      </c>
    </row>
    <row r="25" spans="1:9">
      <c r="A25" s="8">
        <f>A24+1</f>
        <v>110</v>
      </c>
      <c r="B25" s="12" t="s">
        <v>159</v>
      </c>
      <c r="C25" s="12"/>
      <c r="D25" s="69">
        <f>+D23+D24</f>
        <v>-1451919229.6947551</v>
      </c>
      <c r="E25" s="69">
        <f>+E23+E24</f>
        <v>-2461908602.2903872</v>
      </c>
      <c r="F25" s="69">
        <f>+F23+F24</f>
        <v>-3913827831.9851422</v>
      </c>
      <c r="G25" t="str">
        <f>"Line "&amp;A23&amp;" + Line "&amp;A24&amp;""</f>
        <v>Line 108 + Line 109</v>
      </c>
      <c r="I25" s="8">
        <f>A25</f>
        <v>110</v>
      </c>
    </row>
    <row r="26" spans="1:9">
      <c r="A26" s="8"/>
      <c r="D26" s="33"/>
      <c r="E26" s="33"/>
      <c r="F26" s="33"/>
      <c r="I26" s="8"/>
    </row>
    <row r="27" spans="1:9">
      <c r="A27" s="8">
        <f>A25+1</f>
        <v>111</v>
      </c>
      <c r="B27" s="14" t="s">
        <v>161</v>
      </c>
      <c r="C27" s="14"/>
      <c r="D27" s="32">
        <f>'1-BaseTRR'!E25*$D$6</f>
        <v>-746075271.26004326</v>
      </c>
      <c r="E27" s="32">
        <f>'1-BaseTRR'!E25*$E$6</f>
        <v>-1297816274.5843639</v>
      </c>
      <c r="F27" s="32">
        <f>SUM(D27:E27)</f>
        <v>-2043891545.8444071</v>
      </c>
      <c r="G27" t="s">
        <v>1922</v>
      </c>
      <c r="I27" s="8">
        <f>A27</f>
        <v>111</v>
      </c>
    </row>
    <row r="28" spans="1:9">
      <c r="A28" s="8">
        <f>A27+1</f>
        <v>112</v>
      </c>
      <c r="B28" s="12" t="s">
        <v>346</v>
      </c>
      <c r="C28" s="12"/>
      <c r="D28" s="32">
        <f>'1-BaseTRR'!E26*$D$6</f>
        <v>-46207507.068571746</v>
      </c>
      <c r="E28" s="32">
        <f>'1-BaseTRR'!E26*$E$6</f>
        <v>-80379094.431428239</v>
      </c>
      <c r="F28" s="32">
        <f>SUM(D28:E28)</f>
        <v>-126586601.49999999</v>
      </c>
      <c r="G28" t="s">
        <v>1923</v>
      </c>
      <c r="I28" s="8">
        <f>A28</f>
        <v>112</v>
      </c>
    </row>
    <row r="29" spans="1:9">
      <c r="A29" s="8">
        <f>A28+1</f>
        <v>113</v>
      </c>
      <c r="B29" s="12" t="s">
        <v>1924</v>
      </c>
      <c r="C29" s="12"/>
      <c r="D29" s="32">
        <f>'1-BaseTRR'!E27*$D$6</f>
        <v>-45703269.370841384</v>
      </c>
      <c r="E29" s="32">
        <f>'1-BaseTRR'!E27*$E$6</f>
        <v>-79501960.560916498</v>
      </c>
      <c r="F29" s="32">
        <f>SUM(D29:E29)</f>
        <v>-125205229.93175788</v>
      </c>
      <c r="G29" t="s">
        <v>1925</v>
      </c>
      <c r="I29" s="8">
        <f>A29</f>
        <v>113</v>
      </c>
    </row>
    <row r="30" spans="1:9">
      <c r="A30" s="8">
        <f>A29+1</f>
        <v>114</v>
      </c>
      <c r="B30" s="12" t="s">
        <v>171</v>
      </c>
      <c r="C30" s="12"/>
      <c r="D30" s="32">
        <f>'1-BaseTRR'!E28*$D$6</f>
        <v>0</v>
      </c>
      <c r="E30" s="32">
        <f>'1-BaseTRR'!E28*$E$6</f>
        <v>0</v>
      </c>
      <c r="F30" s="32">
        <f>SUM(D30:E30)</f>
        <v>0</v>
      </c>
      <c r="G30" t="s">
        <v>1926</v>
      </c>
      <c r="I30" s="8">
        <f>A30</f>
        <v>114</v>
      </c>
    </row>
    <row r="31" spans="1:9">
      <c r="A31" s="8"/>
      <c r="D31" s="33"/>
      <c r="E31" s="33"/>
      <c r="F31" s="33"/>
      <c r="I31" s="8"/>
    </row>
    <row r="32" spans="1:9">
      <c r="A32" s="8">
        <f>A30+1</f>
        <v>115</v>
      </c>
      <c r="B32" s="12" t="s">
        <v>173</v>
      </c>
      <c r="C32" s="12"/>
      <c r="D32" s="69">
        <f ca="1">+D14+D20+D25+D27+D28+D30+D29</f>
        <v>3509806857.9658155</v>
      </c>
      <c r="E32" s="69">
        <f ca="1">+E14+E20+E25+E27+E28+E30+E29</f>
        <v>6721721299.8709984</v>
      </c>
      <c r="F32" s="69">
        <f ca="1">+F14+F20+F25+F27+F28+F30+F29</f>
        <v>10231528157.836813</v>
      </c>
      <c r="G32" t="str">
        <f>"Sum of Lines "&amp;A14&amp;", "&amp;A20&amp;", "&amp;A25&amp;" and Lines "&amp;A27&amp;" to "&amp;A30&amp;""</f>
        <v>Sum of Lines 103, 107, 110 and Lines 111 to 114</v>
      </c>
      <c r="I32" s="8">
        <f>A32</f>
        <v>115</v>
      </c>
    </row>
    <row r="33" spans="1:11">
      <c r="A33" s="8"/>
      <c r="B33" s="12"/>
      <c r="C33" s="12"/>
      <c r="D33" s="22"/>
      <c r="E33" s="22"/>
      <c r="F33" s="22"/>
      <c r="I33" s="8"/>
    </row>
    <row r="34" spans="1:11">
      <c r="A34" s="13"/>
      <c r="B34" s="53" t="s">
        <v>1927</v>
      </c>
      <c r="C34" s="55"/>
      <c r="D34" s="55"/>
      <c r="E34" s="55"/>
      <c r="F34" s="55"/>
      <c r="G34" s="355"/>
      <c r="H34" s="355"/>
      <c r="I34" s="8"/>
    </row>
    <row r="35" spans="1:11">
      <c r="A35" s="13" t="s">
        <v>100</v>
      </c>
      <c r="B35" s="13" t="s">
        <v>6</v>
      </c>
      <c r="D35" s="13" t="s">
        <v>715</v>
      </c>
      <c r="E35" s="13" t="s">
        <v>716</v>
      </c>
      <c r="F35" s="13" t="s">
        <v>465</v>
      </c>
      <c r="G35" s="13" t="s">
        <v>594</v>
      </c>
      <c r="H35" s="13" t="s">
        <v>136</v>
      </c>
      <c r="I35" s="13" t="s">
        <v>100</v>
      </c>
    </row>
    <row r="36" spans="1:11" ht="43.5">
      <c r="A36" s="8">
        <v>200</v>
      </c>
      <c r="B36" t="s">
        <v>266</v>
      </c>
      <c r="D36" s="32">
        <f>D6*('18-OandM'!P10-'18-OandM'!P24)+'18-OandM'!P24</f>
        <v>237187169.26231983</v>
      </c>
      <c r="E36" s="32">
        <f>E6*('18-OandM'!P10-'18-OandM'!P24)</f>
        <v>411707862.78593653</v>
      </c>
      <c r="F36" s="32">
        <f t="shared" ref="F36:F48" si="0">SUM(D36:E36)</f>
        <v>648895032.0482564</v>
      </c>
      <c r="G36" s="45" t="s">
        <v>1928</v>
      </c>
      <c r="H36" s="45"/>
      <c r="I36" s="8">
        <f t="shared" ref="I36:I48" si="1">A36</f>
        <v>200</v>
      </c>
      <c r="J36" s="33"/>
    </row>
    <row r="37" spans="1:11">
      <c r="A37" s="8">
        <f t="shared" ref="A37:A48" si="2">A36+1</f>
        <v>201</v>
      </c>
      <c r="B37" t="s">
        <v>268</v>
      </c>
      <c r="D37" s="32">
        <f>D6*'1-BaseTRR'!E126</f>
        <v>144376537.46237823</v>
      </c>
      <c r="E37" s="32">
        <f>E6*'1-BaseTRR'!E126</f>
        <v>251146536.01956019</v>
      </c>
      <c r="F37" s="32">
        <f t="shared" si="0"/>
        <v>395523073.48193842</v>
      </c>
      <c r="G37" t="s">
        <v>1929</v>
      </c>
      <c r="I37" s="8">
        <f t="shared" si="1"/>
        <v>201</v>
      </c>
      <c r="J37" s="33"/>
    </row>
    <row r="38" spans="1:11">
      <c r="A38" s="8">
        <f t="shared" si="2"/>
        <v>202</v>
      </c>
      <c r="B38" t="s">
        <v>270</v>
      </c>
      <c r="D38" s="32">
        <f>D6*'1-BaseTRR'!E127</f>
        <v>2727682.2089570896</v>
      </c>
      <c r="E38" s="32">
        <f>E6*'1-BaseTRR'!E127</f>
        <v>4744870.2551151402</v>
      </c>
      <c r="F38" s="32">
        <f t="shared" si="0"/>
        <v>7472552.4640722293</v>
      </c>
      <c r="G38" t="s">
        <v>1930</v>
      </c>
      <c r="I38" s="8">
        <f t="shared" si="1"/>
        <v>202</v>
      </c>
      <c r="J38" s="33"/>
    </row>
    <row r="39" spans="1:11" ht="29">
      <c r="A39" s="8">
        <f t="shared" si="2"/>
        <v>203</v>
      </c>
      <c r="B39" t="s">
        <v>272</v>
      </c>
      <c r="D39" s="32">
        <f>'11-Depreciation'!O13+'11-Depreciation'!D61</f>
        <v>170879149.70400566</v>
      </c>
      <c r="E39" s="32">
        <f>'11-Depreciation'!O14+'11-Depreciation'!E61</f>
        <v>326863829.19527501</v>
      </c>
      <c r="F39" s="32">
        <f t="shared" si="0"/>
        <v>497742978.89928067</v>
      </c>
      <c r="G39" s="45" t="s">
        <v>1931</v>
      </c>
      <c r="H39" s="45"/>
      <c r="I39" s="8">
        <f t="shared" si="1"/>
        <v>203</v>
      </c>
      <c r="J39" s="28"/>
      <c r="K39" s="31"/>
    </row>
    <row r="40" spans="1:11">
      <c r="A40" s="8">
        <f t="shared" si="2"/>
        <v>204</v>
      </c>
      <c r="B40" s="17" t="s">
        <v>1932</v>
      </c>
      <c r="D40" s="32">
        <f>D6*'1-BaseTRR'!$E$129</f>
        <v>906202.30709490215</v>
      </c>
      <c r="E40" s="32">
        <f>E6*'1-BaseTRR'!$E$129</f>
        <v>1576361.1897059374</v>
      </c>
      <c r="F40" s="32">
        <f t="shared" si="0"/>
        <v>2482563.4968008394</v>
      </c>
      <c r="G40" t="s">
        <v>1933</v>
      </c>
      <c r="I40" s="8">
        <f t="shared" si="1"/>
        <v>204</v>
      </c>
      <c r="J40" s="28"/>
      <c r="K40" s="31"/>
    </row>
    <row r="41" spans="1:11">
      <c r="A41" s="8">
        <f t="shared" si="2"/>
        <v>205</v>
      </c>
      <c r="B41" t="s">
        <v>276</v>
      </c>
      <c r="D41" s="32">
        <f ca="1">'8-AbandonedPlant'!I12</f>
        <v>0</v>
      </c>
      <c r="E41" s="32">
        <f ca="1">'8-AbandonedPlant'!I13</f>
        <v>0</v>
      </c>
      <c r="F41" s="32">
        <f t="shared" ca="1" si="0"/>
        <v>0</v>
      </c>
      <c r="G41" t="s">
        <v>1934</v>
      </c>
      <c r="I41" s="8">
        <f t="shared" si="1"/>
        <v>205</v>
      </c>
      <c r="J41" s="33"/>
    </row>
    <row r="42" spans="1:11" ht="29">
      <c r="A42" s="8">
        <f t="shared" si="2"/>
        <v>206</v>
      </c>
      <c r="B42" t="s">
        <v>278</v>
      </c>
      <c r="D42" s="32">
        <f ca="1">D32*'1-BaseTRR'!$E$66-('1-BaseTRR'!E69*'8-AbandonedPlant'!M12)</f>
        <v>245077731.95259464</v>
      </c>
      <c r="E42" s="32">
        <f ca="1">E32*'1-BaseTRR'!$E$66-('1-BaseTRR'!E69*'8-AbandonedPlant'!M13)</f>
        <v>469354661.85298425</v>
      </c>
      <c r="F42" s="32">
        <f t="shared" ca="1" si="0"/>
        <v>714432393.80557895</v>
      </c>
      <c r="G42" s="45" t="s">
        <v>1935</v>
      </c>
      <c r="I42" s="8">
        <f t="shared" si="1"/>
        <v>206</v>
      </c>
      <c r="J42" s="33"/>
    </row>
    <row r="43" spans="1:11">
      <c r="A43" s="8">
        <f t="shared" si="2"/>
        <v>207</v>
      </c>
      <c r="B43" t="s">
        <v>279</v>
      </c>
      <c r="D43" s="32">
        <f>$D$6*'1-BaseTRR'!E132</f>
        <v>49829261.435079366</v>
      </c>
      <c r="E43" s="32">
        <f>$E$6*'1-BaseTRR'!E132</f>
        <v>86679225.182930201</v>
      </c>
      <c r="F43" s="32">
        <f t="shared" si="0"/>
        <v>136508486.61800957</v>
      </c>
      <c r="G43" t="s">
        <v>1936</v>
      </c>
      <c r="I43" s="8">
        <f t="shared" si="1"/>
        <v>207</v>
      </c>
      <c r="J43" s="33"/>
    </row>
    <row r="44" spans="1:11">
      <c r="A44" s="8">
        <f t="shared" si="2"/>
        <v>208</v>
      </c>
      <c r="B44" t="s">
        <v>280</v>
      </c>
      <c r="D44" s="32">
        <f ca="1">$D$6*'1-BaseTRR'!E133</f>
        <v>65844150.773353674</v>
      </c>
      <c r="E44" s="32">
        <f ca="1">$E$6*'1-BaseTRR'!E133</f>
        <v>114537518.86927281</v>
      </c>
      <c r="F44" s="32">
        <f t="shared" ca="1" si="0"/>
        <v>180381669.64262649</v>
      </c>
      <c r="G44" t="s">
        <v>1937</v>
      </c>
      <c r="I44" s="8">
        <f t="shared" si="1"/>
        <v>208</v>
      </c>
      <c r="J44" s="33"/>
    </row>
    <row r="45" spans="1:11">
      <c r="A45" s="8">
        <f t="shared" si="2"/>
        <v>209</v>
      </c>
      <c r="B45" t="s">
        <v>55</v>
      </c>
      <c r="C45" s="334"/>
      <c r="D45" s="32">
        <f>-'20-RevenueCredits Corrected V1'!F10</f>
        <v>-7454398</v>
      </c>
      <c r="E45" s="32">
        <f>-'20-RevenueCredits Corrected V1'!G10</f>
        <v>-3776940</v>
      </c>
      <c r="F45" s="32">
        <f t="shared" si="0"/>
        <v>-11231338</v>
      </c>
      <c r="G45" t="s">
        <v>1938</v>
      </c>
      <c r="I45" s="8">
        <f t="shared" si="1"/>
        <v>209</v>
      </c>
      <c r="J45" s="33"/>
    </row>
    <row r="46" spans="1:11">
      <c r="A46" s="8">
        <f t="shared" si="2"/>
        <v>210</v>
      </c>
      <c r="B46" t="s">
        <v>283</v>
      </c>
      <c r="D46" s="32">
        <f>$D$6*'1-BaseTRR'!E135</f>
        <v>-6457490.8439807137</v>
      </c>
      <c r="E46" s="32">
        <f>$E$6*'1-BaseTRR'!E135</f>
        <v>-11232964.062920449</v>
      </c>
      <c r="F46" s="32">
        <f t="shared" si="0"/>
        <v>-17690454.906901162</v>
      </c>
      <c r="G46" t="s">
        <v>1939</v>
      </c>
      <c r="I46" s="8">
        <f t="shared" si="1"/>
        <v>210</v>
      </c>
      <c r="J46" s="33"/>
    </row>
    <row r="47" spans="1:11">
      <c r="A47" s="8">
        <f t="shared" si="2"/>
        <v>211</v>
      </c>
      <c r="B47" t="s">
        <v>285</v>
      </c>
      <c r="D47" s="26">
        <f>$D$6*'1-BaseTRR'!E136</f>
        <v>0</v>
      </c>
      <c r="E47" s="26">
        <f>$E$6*'1-BaseTRR'!E136</f>
        <v>0</v>
      </c>
      <c r="F47" s="26">
        <f t="shared" si="0"/>
        <v>0</v>
      </c>
      <c r="G47" t="s">
        <v>1940</v>
      </c>
      <c r="I47" s="8">
        <f t="shared" si="1"/>
        <v>211</v>
      </c>
      <c r="J47" s="33"/>
    </row>
    <row r="48" spans="1:11">
      <c r="A48" s="8">
        <f t="shared" si="2"/>
        <v>212</v>
      </c>
      <c r="B48" s="12" t="s">
        <v>288</v>
      </c>
      <c r="D48" s="69">
        <f ca="1">SUM(D36:D47)</f>
        <v>902915996.26180267</v>
      </c>
      <c r="E48" s="69">
        <f ca="1">SUM(E36:E47)</f>
        <v>1651600961.2878597</v>
      </c>
      <c r="F48" s="69">
        <f t="shared" ca="1" si="0"/>
        <v>2554516957.5496626</v>
      </c>
      <c r="G48" t="str">
        <f>"Sum of Lines "&amp;A36&amp;" to Line "&amp;A47&amp;""</f>
        <v>Sum of Lines 200 to Line 211</v>
      </c>
      <c r="I48" s="8">
        <f t="shared" si="1"/>
        <v>212</v>
      </c>
      <c r="J48" s="33"/>
    </row>
    <row r="49" spans="1:9">
      <c r="A49" s="8"/>
      <c r="I49" s="8"/>
    </row>
    <row r="50" spans="1:9">
      <c r="A50" s="8">
        <f>A48+1</f>
        <v>213</v>
      </c>
      <c r="B50" s="12" t="s">
        <v>294</v>
      </c>
      <c r="D50" s="32">
        <f ca="1">D48*('1-BaseTRR'!$E$140+'1-BaseTRR'!$E$141)</f>
        <v>7033715.6108794436</v>
      </c>
      <c r="E50" s="32">
        <f ca="1">E48*('1-BaseTRR'!$E$140+'1-BaseTRR'!$E$141)</f>
        <v>12865971.488432428</v>
      </c>
      <c r="F50" s="32">
        <f ca="1">SUM(D50:E50)</f>
        <v>19899687.099311873</v>
      </c>
      <c r="G50" t="s">
        <v>1941</v>
      </c>
      <c r="I50" s="8">
        <f>A50</f>
        <v>213</v>
      </c>
    </row>
    <row r="51" spans="1:9">
      <c r="A51" s="8"/>
      <c r="D51" s="33"/>
      <c r="E51" s="33"/>
      <c r="F51" s="33"/>
      <c r="I51" s="8"/>
    </row>
    <row r="52" spans="1:9">
      <c r="A52" s="8">
        <f>A50+1</f>
        <v>214</v>
      </c>
      <c r="B52" t="s">
        <v>297</v>
      </c>
      <c r="D52" s="32">
        <f ca="1">D6*'1-BaseTRR'!$E$149</f>
        <v>110571999.50731991</v>
      </c>
      <c r="E52" s="32">
        <f ca="1">E6*'1-BaseTRR'!$E$149</f>
        <v>192342711.25428662</v>
      </c>
      <c r="F52" s="32">
        <f ca="1">SUM(D52:E52)</f>
        <v>302914710.76160651</v>
      </c>
      <c r="G52" t="s">
        <v>1942</v>
      </c>
      <c r="I52" s="8">
        <f>A52</f>
        <v>214</v>
      </c>
    </row>
    <row r="53" spans="1:9">
      <c r="A53" s="8">
        <f>A52+1</f>
        <v>215</v>
      </c>
      <c r="B53" t="s">
        <v>1943</v>
      </c>
      <c r="D53" s="26">
        <f>D6*'1-BaseTRR'!$E$150</f>
        <v>105753118.94423935</v>
      </c>
      <c r="E53" s="26">
        <f>E6*'1-BaseTRR'!$E$150</f>
        <v>183960150.05576059</v>
      </c>
      <c r="F53" s="26">
        <f>SUM(D53:E53)</f>
        <v>289713268.99999994</v>
      </c>
      <c r="G53" t="s">
        <v>1944</v>
      </c>
      <c r="I53" s="8">
        <f>A53</f>
        <v>215</v>
      </c>
    </row>
    <row r="54" spans="1:9">
      <c r="A54" s="8"/>
      <c r="D54" s="33"/>
      <c r="E54" s="33"/>
      <c r="F54" s="33"/>
      <c r="I54" s="8"/>
    </row>
    <row r="55" spans="1:9">
      <c r="A55" s="8">
        <f>A53+1</f>
        <v>216</v>
      </c>
      <c r="B55" s="12" t="s">
        <v>1945</v>
      </c>
      <c r="D55" s="69">
        <f ca="1">ROUND(SUM(D48:D53),2)</f>
        <v>1126274830.3199999</v>
      </c>
      <c r="E55" s="69">
        <f ca="1">ROUND(SUM(E48:E53),2)</f>
        <v>2040769794.0899999</v>
      </c>
      <c r="F55" s="69">
        <f ca="1">SUM(D55:E55)</f>
        <v>3167044624.4099998</v>
      </c>
      <c r="G55" t="str">
        <f>"Sum of Lines "&amp;A48&amp;" to Line "&amp;A53&amp;""</f>
        <v>Sum of Lines 212 to Line 215</v>
      </c>
      <c r="I55" s="8">
        <f>A55</f>
        <v>216</v>
      </c>
    </row>
    <row r="56" spans="1:9">
      <c r="A56" s="8">
        <f>A55+1</f>
        <v>217</v>
      </c>
      <c r="B56" s="12" t="s">
        <v>1946</v>
      </c>
      <c r="D56" s="52">
        <v>-254058526.22583207</v>
      </c>
      <c r="E56" s="52">
        <v>-167448809</v>
      </c>
      <c r="F56" s="32">
        <f>SUM(D56:E56)</f>
        <v>-421507335.2258321</v>
      </c>
      <c r="G56" s="376" t="s">
        <v>1947</v>
      </c>
      <c r="H56" s="5"/>
      <c r="I56" s="8">
        <f>A56</f>
        <v>217</v>
      </c>
    </row>
    <row r="57" spans="1:9">
      <c r="A57" s="8">
        <f>A56+1</f>
        <v>218</v>
      </c>
      <c r="B57" s="12" t="s">
        <v>1948</v>
      </c>
      <c r="D57" s="26">
        <f ca="1">-ROUND(D6*'29-RetailRates-1'!F47*0.5,2)</f>
        <v>-3286010.78</v>
      </c>
      <c r="E57" s="26">
        <f ca="1">-ROUND(E6*'29-RetailRates-1'!F47*0.5,2)</f>
        <v>-5716096.5300000003</v>
      </c>
      <c r="F57" s="26">
        <f ca="1">SUM(D57:E57)</f>
        <v>-9002107.3100000005</v>
      </c>
      <c r="G57" t="s">
        <v>1949</v>
      </c>
      <c r="I57" s="8">
        <f>A57</f>
        <v>218</v>
      </c>
    </row>
    <row r="58" spans="1:9">
      <c r="A58" s="8"/>
      <c r="D58" s="33"/>
      <c r="E58" s="33"/>
      <c r="F58" s="33"/>
      <c r="I58" s="8"/>
    </row>
    <row r="59" spans="1:9">
      <c r="A59" s="8">
        <f>A57+1</f>
        <v>219</v>
      </c>
      <c r="B59" s="12" t="s">
        <v>1950</v>
      </c>
      <c r="D59" s="557">
        <f ca="1">ROUND(D57+D56+D55,2)</f>
        <v>868930293.30999994</v>
      </c>
      <c r="E59" s="557">
        <f ca="1">ROUND(E57+E56+E55,2)</f>
        <v>1867604888.5599999</v>
      </c>
      <c r="F59" s="557">
        <f ca="1">ROUND(F57+F56+F55,2)</f>
        <v>2736535181.8699999</v>
      </c>
      <c r="G59" t="str">
        <f>"Sum of Lines "&amp;A55&amp;" to Line "&amp;A57&amp;""</f>
        <v>Sum of Lines 216 to Line 218</v>
      </c>
      <c r="I59" s="8">
        <f>A59</f>
        <v>219</v>
      </c>
    </row>
    <row r="61" spans="1:9">
      <c r="B61" s="16"/>
    </row>
    <row r="144" spans="11:11">
      <c r="K144" t="e">
        <f>E30/E144*E151</f>
        <v>#DIV/0!</v>
      </c>
    </row>
    <row r="160" spans="10:10">
      <c r="J160">
        <f>E160-D160</f>
        <v>0</v>
      </c>
    </row>
  </sheetData>
  <printOptions horizontalCentered="1"/>
  <pageMargins left="1" right="1" top="1" bottom="1" header="0.5" footer="0.5"/>
  <pageSetup scale="66"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160"/>
  <sheetViews>
    <sheetView tabSelected="1" view="pageBreakPreview" zoomScale="115" zoomScaleSheetLayoutView="115" workbookViewId="0">
      <selection activeCell="E174" sqref="E174"/>
    </sheetView>
  </sheetViews>
  <sheetFormatPr defaultColWidth="9.1796875" defaultRowHeight="14.5"/>
  <cols>
    <col min="1" max="1" width="4.7265625" bestFit="1" customWidth="1"/>
    <col min="2" max="2" width="38.54296875" bestFit="1" customWidth="1"/>
    <col min="3" max="3" width="15.7265625" bestFit="1" customWidth="1"/>
    <col min="4" max="4" width="25" bestFit="1" customWidth="1"/>
    <col min="5" max="5" width="9.81640625" bestFit="1" customWidth="1"/>
    <col min="6" max="6" width="4.7265625" bestFit="1" customWidth="1"/>
    <col min="10" max="10" width="13.453125" customWidth="1"/>
    <col min="11" max="11" width="25.1796875" customWidth="1"/>
  </cols>
  <sheetData>
    <row r="1" spans="1:6">
      <c r="B1" s="12" t="s">
        <v>69</v>
      </c>
      <c r="E1" s="15" t="str">
        <f>CONCATENATE("Rate Year: ",'1-BaseTRR'!$G$1)</f>
        <v>Rate Year: 2023</v>
      </c>
    </row>
    <row r="3" spans="1:6">
      <c r="A3" s="13" t="s">
        <v>100</v>
      </c>
      <c r="B3" s="13" t="s">
        <v>6</v>
      </c>
      <c r="C3" s="13" t="s">
        <v>134</v>
      </c>
      <c r="D3" s="13" t="s">
        <v>135</v>
      </c>
      <c r="E3" s="13" t="s">
        <v>136</v>
      </c>
      <c r="F3" s="13" t="str">
        <f>A3</f>
        <v>Line</v>
      </c>
    </row>
    <row r="4" spans="1:6">
      <c r="B4" s="58" t="s">
        <v>1951</v>
      </c>
      <c r="C4" s="55"/>
      <c r="D4" s="55"/>
      <c r="E4" s="55"/>
    </row>
    <row r="5" spans="1:6">
      <c r="A5" s="8">
        <v>100</v>
      </c>
      <c r="B5" t="s">
        <v>1952</v>
      </c>
      <c r="C5" s="334">
        <f ca="1">'26-WholesaleTRRs'!D59</f>
        <v>868930293.30999994</v>
      </c>
      <c r="D5" s="338" t="s">
        <v>1953</v>
      </c>
      <c r="F5" s="8">
        <f>A5</f>
        <v>100</v>
      </c>
    </row>
    <row r="6" spans="1:6">
      <c r="A6" s="8">
        <f>A5+1</f>
        <v>101</v>
      </c>
      <c r="B6" t="s">
        <v>1954</v>
      </c>
      <c r="C6" s="21">
        <f>'28-GrossLoad'!$C$12/1000</f>
        <v>91428372.763398543</v>
      </c>
      <c r="D6" t="str">
        <f>CONCATENATE("28-GrossLoad, L. ",'28-GrossLoad'!$A$12," / 1000")</f>
        <v>28-GrossLoad, L. 104 / 1000</v>
      </c>
      <c r="F6" s="8">
        <f>A6</f>
        <v>101</v>
      </c>
    </row>
    <row r="7" spans="1:6">
      <c r="A7" s="8">
        <f>A6+1</f>
        <v>102</v>
      </c>
      <c r="B7" s="12" t="s">
        <v>1955</v>
      </c>
      <c r="C7" s="560">
        <f ca="1">C5/C6</f>
        <v>9.5039457342049314</v>
      </c>
      <c r="D7" t="str">
        <f>"Line "&amp;A5&amp;" / Line "&amp;A6&amp;""</f>
        <v>Line 100 / Line 101</v>
      </c>
      <c r="F7" s="8">
        <f>A7</f>
        <v>102</v>
      </c>
    </row>
    <row r="8" spans="1:6">
      <c r="F8" s="8"/>
    </row>
    <row r="9" spans="1:6">
      <c r="B9" s="58" t="s">
        <v>1956</v>
      </c>
      <c r="C9" s="55"/>
      <c r="D9" s="55"/>
      <c r="E9" s="55"/>
      <c r="F9" s="8"/>
    </row>
    <row r="10" spans="1:6">
      <c r="A10" s="8">
        <v>200</v>
      </c>
      <c r="B10" t="s">
        <v>1957</v>
      </c>
      <c r="C10" s="334">
        <f ca="1">'26-WholesaleTRRs'!E59</f>
        <v>1867604888.5599999</v>
      </c>
      <c r="D10" s="338" t="s">
        <v>1958</v>
      </c>
      <c r="F10" s="8">
        <f>A10</f>
        <v>200</v>
      </c>
    </row>
    <row r="11" spans="1:6">
      <c r="A11" s="8">
        <f>A10+1</f>
        <v>201</v>
      </c>
      <c r="B11" t="s">
        <v>1954</v>
      </c>
      <c r="C11" s="21">
        <f>C6</f>
        <v>91428372.763398543</v>
      </c>
      <c r="D11" t="str">
        <f>CONCATENATE("28-GrossLoad, L. ",'28-GrossLoad'!$A$12," / 1000")</f>
        <v>28-GrossLoad, L. 104 / 1000</v>
      </c>
      <c r="F11" s="8">
        <f>A11</f>
        <v>201</v>
      </c>
    </row>
    <row r="12" spans="1:6">
      <c r="A12" s="8">
        <f>A11+1</f>
        <v>202</v>
      </c>
      <c r="B12" s="12" t="s">
        <v>1959</v>
      </c>
      <c r="C12" s="560">
        <f ca="1">C10/C11</f>
        <v>20.426972854401022</v>
      </c>
      <c r="D12" t="str">
        <f>"Line "&amp;A10&amp;" / Line "&amp;A11&amp;""</f>
        <v>Line 200 / Line 201</v>
      </c>
      <c r="F12" s="8">
        <f>A12</f>
        <v>202</v>
      </c>
    </row>
    <row r="14" spans="1:6">
      <c r="B14" s="12"/>
    </row>
    <row r="28" spans="4:4">
      <c r="D28" s="17"/>
    </row>
    <row r="144" spans="11:11">
      <c r="K144" t="e">
        <f>E30/E144*E151</f>
        <v>#DIV/0!</v>
      </c>
    </row>
    <row r="160" spans="10:10">
      <c r="J160">
        <f>E160-D160</f>
        <v>0</v>
      </c>
    </row>
  </sheetData>
  <printOptions horizontalCentered="1"/>
  <pageMargins left="1" right="1" top="1" bottom="1" header="0.5" footer="0.5"/>
  <pageSetup scale="70"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160"/>
  <sheetViews>
    <sheetView tabSelected="1" view="pageBreakPreview" zoomScaleSheetLayoutView="100" workbookViewId="0">
      <selection activeCell="E174" sqref="E174"/>
    </sheetView>
  </sheetViews>
  <sheetFormatPr defaultColWidth="9.1796875" defaultRowHeight="14.5"/>
  <cols>
    <col min="1" max="1" width="4.7265625" bestFit="1" customWidth="1"/>
    <col min="2" max="2" width="50" customWidth="1"/>
    <col min="3" max="3" width="18" bestFit="1" customWidth="1"/>
    <col min="4" max="4" width="31.1796875" bestFit="1" customWidth="1"/>
    <col min="5" max="5" width="9.453125" bestFit="1" customWidth="1"/>
    <col min="6" max="6" width="4.7265625" bestFit="1" customWidth="1"/>
    <col min="7" max="7" width="9.1796875" customWidth="1"/>
    <col min="8" max="8" width="21.7265625" bestFit="1" customWidth="1"/>
    <col min="9" max="9" width="13.26953125" bestFit="1" customWidth="1"/>
    <col min="10" max="10" width="13.453125" customWidth="1"/>
    <col min="11" max="11" width="25.1796875" customWidth="1"/>
  </cols>
  <sheetData>
    <row r="1" spans="1:9">
      <c r="B1" s="12" t="s">
        <v>71</v>
      </c>
      <c r="E1" s="15" t="str">
        <f>CONCATENATE("Rate Year: ",'1-BaseTRR'!$G$1)</f>
        <v>Rate Year: 2023</v>
      </c>
    </row>
    <row r="2" spans="1:9">
      <c r="B2" s="119" t="s">
        <v>131</v>
      </c>
      <c r="E2" s="15"/>
    </row>
    <row r="3" spans="1:9">
      <c r="B3" s="144"/>
    </row>
    <row r="4" spans="1:9">
      <c r="B4" s="16" t="s">
        <v>350</v>
      </c>
    </row>
    <row r="5" spans="1:9">
      <c r="B5" t="s">
        <v>1960</v>
      </c>
    </row>
    <row r="6" spans="1:9">
      <c r="B6" s="144"/>
    </row>
    <row r="7" spans="1:9">
      <c r="A7" s="13" t="s">
        <v>100</v>
      </c>
      <c r="B7" s="13" t="s">
        <v>6</v>
      </c>
      <c r="C7" s="13" t="s">
        <v>134</v>
      </c>
      <c r="D7" s="13" t="s">
        <v>135</v>
      </c>
      <c r="E7" s="13" t="s">
        <v>136</v>
      </c>
      <c r="F7" s="13" t="s">
        <v>100</v>
      </c>
    </row>
    <row r="8" spans="1:9">
      <c r="A8" s="8">
        <v>100</v>
      </c>
      <c r="B8" t="s">
        <v>1961</v>
      </c>
      <c r="C8" s="131">
        <v>93707348115.778366</v>
      </c>
      <c r="D8" s="378" t="s">
        <v>1962</v>
      </c>
      <c r="E8" s="30"/>
      <c r="F8" s="8">
        <f>A8</f>
        <v>100</v>
      </c>
    </row>
    <row r="9" spans="1:9">
      <c r="A9" s="8">
        <f>A8+1</f>
        <v>101</v>
      </c>
      <c r="B9" t="s">
        <v>1963</v>
      </c>
      <c r="C9" s="380">
        <v>0.96528000000000003</v>
      </c>
      <c r="D9" s="378" t="s">
        <v>1964</v>
      </c>
      <c r="E9" s="30"/>
      <c r="F9" s="8">
        <f>A9</f>
        <v>101</v>
      </c>
    </row>
    <row r="10" spans="1:9">
      <c r="A10" s="8">
        <f t="shared" ref="A10:A12" si="0">A9+1</f>
        <v>102</v>
      </c>
      <c r="B10" t="s">
        <v>1965</v>
      </c>
      <c r="C10" s="21">
        <f>C8*C9</f>
        <v>90453828989.198547</v>
      </c>
      <c r="D10" s="21" t="str">
        <f>"Line "&amp;A8&amp;" * Line "&amp;A9&amp;""</f>
        <v>Line 100 * Line 101</v>
      </c>
      <c r="E10" s="30"/>
      <c r="F10" s="8">
        <f>A10</f>
        <v>102</v>
      </c>
    </row>
    <row r="11" spans="1:9">
      <c r="A11" s="8">
        <f t="shared" si="0"/>
        <v>103</v>
      </c>
      <c r="B11" t="s">
        <v>1966</v>
      </c>
      <c r="C11" s="379">
        <v>974543774.20000005</v>
      </c>
      <c r="D11" s="378" t="s">
        <v>1967</v>
      </c>
      <c r="E11" s="30"/>
      <c r="F11" s="8">
        <f>A11</f>
        <v>103</v>
      </c>
    </row>
    <row r="12" spans="1:9">
      <c r="A12" s="8">
        <f t="shared" si="0"/>
        <v>104</v>
      </c>
      <c r="B12" s="12" t="s">
        <v>1968</v>
      </c>
      <c r="C12" s="531">
        <f>C11+C10</f>
        <v>91428372763.398544</v>
      </c>
      <c r="D12" s="21" t="str">
        <f>"Line "&amp;A10&amp;" + Line "&amp;A11&amp;""</f>
        <v>Line 102 + Line 103</v>
      </c>
      <c r="E12" s="30"/>
      <c r="F12" s="8">
        <f>A12</f>
        <v>104</v>
      </c>
      <c r="H12" s="574"/>
      <c r="I12" s="574"/>
    </row>
    <row r="14" spans="1:9">
      <c r="B14" s="16"/>
    </row>
    <row r="32" spans="4:4">
      <c r="D32" s="17"/>
    </row>
    <row r="144" spans="11:11">
      <c r="K144" t="e">
        <f>E30/E144*E151</f>
        <v>#DIV/0!</v>
      </c>
    </row>
    <row r="160" spans="10:10">
      <c r="J160">
        <f>E160-D160</f>
        <v>0</v>
      </c>
    </row>
  </sheetData>
  <printOptions horizontalCentered="1"/>
  <pageMargins left="1" right="1" top="1" bottom="1" header="0.5" footer="0.5"/>
  <pageSetup scale="97"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319E6-0B63-463F-8650-8636E69D782D}">
  <sheetPr>
    <pageSetUpPr fitToPage="1"/>
  </sheetPr>
  <dimension ref="A1:S160"/>
  <sheetViews>
    <sheetView tabSelected="1" view="pageBreakPreview" topLeftCell="A4" zoomScale="85" zoomScaleNormal="85" zoomScaleSheetLayoutView="85" workbookViewId="0">
      <selection activeCell="E174" sqref="E174"/>
    </sheetView>
  </sheetViews>
  <sheetFormatPr defaultColWidth="8.81640625" defaultRowHeight="14.5"/>
  <cols>
    <col min="1" max="1" width="5.26953125" style="2" customWidth="1"/>
    <col min="2" max="2" width="6.54296875" style="17" customWidth="1"/>
    <col min="3" max="3" width="3.7265625" style="17" customWidth="1"/>
    <col min="4" max="4" width="16.7265625" style="17" customWidth="1"/>
    <col min="5" max="5" width="1.1796875" style="17" customWidth="1"/>
    <col min="6" max="6" width="16.453125" style="17" customWidth="1"/>
    <col min="7" max="7" width="2.7265625" style="382" hidden="1" customWidth="1"/>
    <col min="8" max="8" width="18" style="17" customWidth="1"/>
    <col min="9" max="9" width="7.7265625" style="17" customWidth="1"/>
    <col min="10" max="10" width="13.453125" style="17" customWidth="1"/>
    <col min="11" max="11" width="25.1796875" style="381" customWidth="1"/>
    <col min="12" max="12" width="15.453125" style="17" customWidth="1"/>
    <col min="13" max="13" width="13.26953125" style="27" customWidth="1"/>
    <col min="14" max="14" width="7.1796875" style="27" customWidth="1"/>
    <col min="15" max="16384" width="8.81640625" style="17"/>
  </cols>
  <sheetData>
    <row r="1" spans="1:19">
      <c r="A1" s="203"/>
      <c r="B1" s="203" t="s">
        <v>73</v>
      </c>
      <c r="M1" s="15" t="s">
        <v>1969</v>
      </c>
      <c r="N1" s="17"/>
    </row>
    <row r="2" spans="1:19">
      <c r="A2" s="203"/>
      <c r="B2" s="203" t="s">
        <v>1970</v>
      </c>
      <c r="C2" s="2"/>
      <c r="D2" s="389"/>
      <c r="E2" s="385"/>
      <c r="F2" s="2"/>
      <c r="L2" s="388"/>
      <c r="M2" s="387" t="s">
        <v>1971</v>
      </c>
      <c r="N2" s="17"/>
    </row>
    <row r="3" spans="1:19">
      <c r="A3" s="203"/>
      <c r="B3" s="415" t="s">
        <v>131</v>
      </c>
      <c r="C3" s="415"/>
      <c r="D3" s="415"/>
      <c r="E3" s="385"/>
      <c r="F3" s="2"/>
      <c r="M3" s="17"/>
      <c r="N3" s="17"/>
    </row>
    <row r="5" spans="1:19">
      <c r="D5" s="730"/>
      <c r="F5" s="124" t="s">
        <v>371</v>
      </c>
      <c r="G5" s="731"/>
      <c r="H5" s="124" t="s">
        <v>372</v>
      </c>
      <c r="I5" s="117"/>
      <c r="J5" s="124" t="s">
        <v>373</v>
      </c>
      <c r="K5" s="390"/>
      <c r="L5" s="124" t="s">
        <v>374</v>
      </c>
      <c r="M5" s="124" t="s">
        <v>375</v>
      </c>
      <c r="N5" s="17"/>
    </row>
    <row r="6" spans="1:19">
      <c r="D6" s="730"/>
      <c r="F6" s="124"/>
      <c r="G6" s="731"/>
      <c r="H6" s="124"/>
      <c r="I6" s="117"/>
      <c r="J6" s="124"/>
      <c r="K6" s="390"/>
      <c r="L6" s="124"/>
      <c r="M6" s="124"/>
      <c r="N6" s="17"/>
    </row>
    <row r="7" spans="1:19">
      <c r="F7" s="27" t="s">
        <v>111</v>
      </c>
      <c r="G7" s="27"/>
      <c r="H7" s="27" t="s">
        <v>203</v>
      </c>
      <c r="I7" s="392"/>
      <c r="J7" s="142" t="s">
        <v>1972</v>
      </c>
      <c r="K7" s="392"/>
      <c r="L7" s="386" t="s">
        <v>251</v>
      </c>
      <c r="M7" s="142" t="s">
        <v>1973</v>
      </c>
      <c r="N7" s="17"/>
    </row>
    <row r="8" spans="1:19">
      <c r="F8" s="27" t="s">
        <v>1974</v>
      </c>
      <c r="H8" s="27" t="s">
        <v>1975</v>
      </c>
      <c r="I8" s="27" t="s">
        <v>1976</v>
      </c>
      <c r="J8" s="386" t="s">
        <v>380</v>
      </c>
      <c r="K8" s="386" t="s">
        <v>1976</v>
      </c>
      <c r="L8" s="386" t="s">
        <v>1977</v>
      </c>
      <c r="M8" s="27" t="s">
        <v>1978</v>
      </c>
      <c r="N8" s="17"/>
    </row>
    <row r="9" spans="1:19">
      <c r="A9" s="121" t="s">
        <v>100</v>
      </c>
      <c r="B9" s="732" t="s">
        <v>1979</v>
      </c>
      <c r="C9" s="117"/>
      <c r="D9" s="732" t="s">
        <v>1980</v>
      </c>
      <c r="F9" s="732" t="s">
        <v>1981</v>
      </c>
      <c r="G9" s="117"/>
      <c r="H9" s="732" t="s">
        <v>1982</v>
      </c>
      <c r="I9" s="732" t="s">
        <v>1983</v>
      </c>
      <c r="J9" s="732" t="s">
        <v>1984</v>
      </c>
      <c r="K9" s="732" t="s">
        <v>1983</v>
      </c>
      <c r="L9" s="732" t="s">
        <v>1985</v>
      </c>
      <c r="M9" s="732" t="s">
        <v>1986</v>
      </c>
      <c r="N9" s="121" t="str">
        <f>A9</f>
        <v>Line</v>
      </c>
    </row>
    <row r="10" spans="1:19">
      <c r="G10" s="17"/>
      <c r="I10" s="382"/>
      <c r="J10" s="144"/>
      <c r="K10" s="144"/>
      <c r="L10" s="381"/>
      <c r="M10" s="17"/>
      <c r="N10" s="2"/>
    </row>
    <row r="11" spans="1:19">
      <c r="A11" s="133">
        <v>100</v>
      </c>
      <c r="B11" s="223" t="s">
        <v>1987</v>
      </c>
      <c r="C11" s="223"/>
      <c r="D11" s="733" t="s">
        <v>1988</v>
      </c>
      <c r="E11" s="223"/>
      <c r="F11" s="487">
        <f ca="1">+'29-RetailRates-2'!M12</f>
        <v>1471408900.2744615</v>
      </c>
      <c r="G11" s="734"/>
      <c r="H11" s="735">
        <f>'29-RetailRates-2'!E12</f>
        <v>27986117172</v>
      </c>
      <c r="I11" s="736" t="s">
        <v>1989</v>
      </c>
      <c r="J11" s="737">
        <f ca="1">F11/(H11-'29-RetailRates-2'!$E$13)</f>
        <v>5.2576474296750095E-2</v>
      </c>
      <c r="K11" s="738" t="s">
        <v>1990</v>
      </c>
      <c r="L11" s="735">
        <f>'29-RetailRates-2'!E12</f>
        <v>27986117172</v>
      </c>
      <c r="M11" s="739">
        <f ca="1">F11/L11</f>
        <v>5.2576386042812694E-2</v>
      </c>
      <c r="N11" s="133">
        <f>A11</f>
        <v>100</v>
      </c>
      <c r="P11" s="756">
        <v>5.2541823787740818E-2</v>
      </c>
      <c r="Q11" s="756">
        <v>5.2611000853468849E-2</v>
      </c>
      <c r="R11" s="756">
        <f>Q11-P11</f>
        <v>6.9177065728030784E-5</v>
      </c>
      <c r="S11" s="510">
        <f>R11*500</f>
        <v>3.4588532864015392E-2</v>
      </c>
    </row>
    <row r="12" spans="1:19">
      <c r="A12" s="133"/>
      <c r="D12" s="388"/>
      <c r="F12" s="166"/>
      <c r="G12" s="166"/>
      <c r="H12" s="381"/>
      <c r="I12" s="740"/>
      <c r="J12" s="741" t="s">
        <v>1991</v>
      </c>
      <c r="K12" s="144"/>
      <c r="L12" s="381"/>
      <c r="N12" s="17"/>
      <c r="Q12" s="756">
        <v>5.307717491990005E-2</v>
      </c>
      <c r="R12" s="756">
        <f>Q12-P11</f>
        <v>5.3535113215923136E-4</v>
      </c>
      <c r="S12" s="510">
        <f>R12*500</f>
        <v>0.26767556607961568</v>
      </c>
    </row>
    <row r="13" spans="1:19">
      <c r="A13" s="133">
        <f>A11+1</f>
        <v>101</v>
      </c>
      <c r="B13" s="223" t="s">
        <v>1992</v>
      </c>
      <c r="C13" s="223"/>
      <c r="D13" s="733" t="s">
        <v>1993</v>
      </c>
      <c r="E13" s="223"/>
      <c r="F13" s="487">
        <f ca="1">+'29-RetailRates-2'!M14</f>
        <v>299950935.20384908</v>
      </c>
      <c r="G13" s="734"/>
      <c r="H13" s="735">
        <f>'29-RetailRates-2'!E14</f>
        <v>8170970533</v>
      </c>
      <c r="I13" s="736" t="s">
        <v>1989</v>
      </c>
      <c r="J13" s="737">
        <f ca="1">F13/H13</f>
        <v>3.6709339972827076E-2</v>
      </c>
      <c r="K13" s="738" t="s">
        <v>1990</v>
      </c>
      <c r="L13" s="735">
        <f>'29-RetailRates-2'!E14</f>
        <v>8170970533</v>
      </c>
      <c r="M13" s="739">
        <f ca="1">F13/L13</f>
        <v>3.6709339972827076E-2</v>
      </c>
      <c r="N13" s="133">
        <f>A13</f>
        <v>101</v>
      </c>
    </row>
    <row r="14" spans="1:19">
      <c r="A14" s="133"/>
      <c r="D14" s="388"/>
      <c r="F14" s="166"/>
      <c r="G14" s="166"/>
      <c r="H14" s="381"/>
      <c r="I14" s="740"/>
      <c r="J14" s="741" t="s">
        <v>1991</v>
      </c>
      <c r="K14" s="144"/>
      <c r="L14" s="381"/>
      <c r="N14" s="17"/>
    </row>
    <row r="15" spans="1:19">
      <c r="A15" s="133">
        <f>A13+1</f>
        <v>102</v>
      </c>
      <c r="B15" s="17" t="s">
        <v>1994</v>
      </c>
      <c r="D15" s="388" t="s">
        <v>1995</v>
      </c>
      <c r="F15" s="166"/>
      <c r="G15" s="166"/>
      <c r="H15" s="742">
        <v>28573782</v>
      </c>
      <c r="I15" s="740" t="s">
        <v>1996</v>
      </c>
      <c r="J15" s="743"/>
      <c r="K15" s="126"/>
      <c r="L15" s="381">
        <f>'29-RetailRates-2'!E16</f>
        <v>7905628709</v>
      </c>
      <c r="M15" s="744">
        <f ca="1">(H15*$J$23)/L15</f>
        <v>4.2048238298943254E-2</v>
      </c>
      <c r="N15" s="133">
        <f>A15</f>
        <v>102</v>
      </c>
    </row>
    <row r="16" spans="1:19">
      <c r="A16" s="133"/>
      <c r="D16" s="388"/>
      <c r="F16" s="166"/>
      <c r="G16" s="166"/>
      <c r="H16" s="381"/>
      <c r="I16" s="740"/>
      <c r="J16" s="743"/>
      <c r="K16" s="144"/>
      <c r="L16" s="381"/>
      <c r="N16" s="17"/>
    </row>
    <row r="17" spans="1:14">
      <c r="A17" s="133">
        <f>A15+1</f>
        <v>103</v>
      </c>
      <c r="B17" s="17" t="s">
        <v>1997</v>
      </c>
      <c r="D17" s="388" t="s">
        <v>1998</v>
      </c>
      <c r="F17" s="166"/>
      <c r="G17" s="166"/>
      <c r="H17" s="742">
        <v>130434</v>
      </c>
      <c r="I17" s="740" t="s">
        <v>1996</v>
      </c>
      <c r="J17" s="743"/>
      <c r="K17" s="126"/>
      <c r="L17" s="381">
        <f>'29-RetailRates-2'!E18</f>
        <v>47969131</v>
      </c>
      <c r="M17" s="744">
        <f ca="1">(H17*$J$23)/L17</f>
        <v>3.1633369443641861E-2</v>
      </c>
      <c r="N17" s="133">
        <f>A17</f>
        <v>103</v>
      </c>
    </row>
    <row r="18" spans="1:14">
      <c r="A18" s="133"/>
      <c r="D18" s="388"/>
      <c r="F18" s="166"/>
      <c r="G18" s="166"/>
      <c r="H18" s="381"/>
      <c r="I18" s="740"/>
      <c r="J18" s="743"/>
      <c r="K18" s="144"/>
      <c r="L18" s="381"/>
      <c r="N18" s="17"/>
    </row>
    <row r="19" spans="1:14">
      <c r="A19" s="133">
        <f>A17+1</f>
        <v>104</v>
      </c>
      <c r="B19" s="17" t="s">
        <v>1997</v>
      </c>
      <c r="D19" s="388" t="s">
        <v>1999</v>
      </c>
      <c r="F19" s="166"/>
      <c r="G19" s="166"/>
      <c r="H19" s="742">
        <v>3394078</v>
      </c>
      <c r="I19" s="740" t="s">
        <v>1996</v>
      </c>
      <c r="J19" s="743"/>
      <c r="K19" s="126"/>
      <c r="L19" s="381">
        <f>'29-RetailRates-2'!E20</f>
        <v>1295857674</v>
      </c>
      <c r="M19" s="744">
        <f ca="1">(H19*$J$23)/L19</f>
        <v>3.0470599943751554E-2</v>
      </c>
      <c r="N19" s="133">
        <f>A19</f>
        <v>104</v>
      </c>
    </row>
    <row r="20" spans="1:14">
      <c r="A20" s="133"/>
      <c r="D20" s="388"/>
      <c r="F20" s="166"/>
      <c r="G20" s="166"/>
      <c r="H20" s="381"/>
      <c r="I20" s="740"/>
      <c r="J20" s="743" t="s">
        <v>1991</v>
      </c>
      <c r="K20" s="144"/>
      <c r="L20" s="381"/>
      <c r="N20" s="17"/>
    </row>
    <row r="21" spans="1:14">
      <c r="A21" s="133">
        <f>A19+1</f>
        <v>105</v>
      </c>
      <c r="B21" s="17" t="s">
        <v>1997</v>
      </c>
      <c r="D21" s="388" t="s">
        <v>2000</v>
      </c>
      <c r="F21" s="166"/>
      <c r="G21" s="166"/>
      <c r="H21" s="384">
        <v>32996630</v>
      </c>
      <c r="I21" s="740" t="s">
        <v>1996</v>
      </c>
      <c r="J21" s="743"/>
      <c r="K21" s="126"/>
      <c r="L21" s="381">
        <f>'29-RetailRates-2'!E22</f>
        <v>13079422246</v>
      </c>
      <c r="M21" s="744">
        <f ca="1">(H21*$J$23)/L21</f>
        <v>2.9349284489161395E-2</v>
      </c>
      <c r="N21" s="133">
        <f>A21</f>
        <v>105</v>
      </c>
    </row>
    <row r="22" spans="1:14">
      <c r="A22" s="133"/>
      <c r="D22" s="388"/>
      <c r="F22" s="166"/>
      <c r="G22" s="166"/>
      <c r="H22" s="381"/>
      <c r="I22" s="740"/>
      <c r="J22" s="741" t="s">
        <v>1991</v>
      </c>
      <c r="K22" s="144"/>
      <c r="L22" s="381"/>
      <c r="N22" s="17"/>
    </row>
    <row r="23" spans="1:14">
      <c r="A23" s="133">
        <f>A21+1</f>
        <v>106</v>
      </c>
      <c r="B23" s="745" t="s">
        <v>2001</v>
      </c>
      <c r="C23" s="223"/>
      <c r="D23" s="733"/>
      <c r="E23" s="223"/>
      <c r="F23" s="487">
        <f ca="1">+'29-RetailRates-2'!M24</f>
        <v>757292430.32202733</v>
      </c>
      <c r="G23" s="734"/>
      <c r="H23" s="735">
        <f>SUM(H15:H21)</f>
        <v>65094924</v>
      </c>
      <c r="I23" s="736" t="s">
        <v>1996</v>
      </c>
      <c r="J23" s="746">
        <f ca="1">F23/H23</f>
        <v>11.633663330216459</v>
      </c>
      <c r="K23" s="738" t="s">
        <v>2002</v>
      </c>
      <c r="L23" s="735"/>
      <c r="M23" s="747"/>
      <c r="N23" s="133">
        <f>A23</f>
        <v>106</v>
      </c>
    </row>
    <row r="24" spans="1:14">
      <c r="A24" s="133"/>
      <c r="D24" s="388"/>
      <c r="F24" s="166"/>
      <c r="G24" s="166"/>
      <c r="H24" s="381"/>
      <c r="I24" s="740"/>
      <c r="J24" s="741"/>
      <c r="K24" s="144"/>
      <c r="L24" s="381"/>
      <c r="N24" s="17"/>
    </row>
    <row r="25" spans="1:14">
      <c r="A25" s="133">
        <f>A23+1</f>
        <v>107</v>
      </c>
      <c r="B25" s="223" t="s">
        <v>2003</v>
      </c>
      <c r="C25" s="223"/>
      <c r="D25" s="733" t="s">
        <v>2004</v>
      </c>
      <c r="E25" s="223"/>
      <c r="F25" s="487">
        <f ca="1">+'29-RetailRates-2'!M26</f>
        <v>7230569.0245331004</v>
      </c>
      <c r="G25" s="734"/>
      <c r="H25" s="735">
        <f>'29-RetailRates-2'!E26</f>
        <v>226995462</v>
      </c>
      <c r="I25" s="736" t="s">
        <v>1989</v>
      </c>
      <c r="J25" s="737">
        <f ca="1">F25/H25</f>
        <v>3.1853363766950991E-2</v>
      </c>
      <c r="K25" s="738" t="s">
        <v>1990</v>
      </c>
      <c r="L25" s="735">
        <f>'29-RetailRates-2'!E26</f>
        <v>226995462</v>
      </c>
      <c r="M25" s="739">
        <f ca="1">F25/L25</f>
        <v>3.1853363766950991E-2</v>
      </c>
      <c r="N25" s="133">
        <f>A25</f>
        <v>107</v>
      </c>
    </row>
    <row r="26" spans="1:14">
      <c r="A26" s="133"/>
      <c r="D26" s="388"/>
      <c r="F26" s="166"/>
      <c r="G26" s="166"/>
      <c r="H26" s="381"/>
      <c r="I26" s="740"/>
      <c r="J26" s="741" t="s">
        <v>1991</v>
      </c>
      <c r="K26" s="144"/>
      <c r="L26" s="381"/>
      <c r="N26" s="17"/>
    </row>
    <row r="27" spans="1:14">
      <c r="A27" s="133">
        <f>A25+1</f>
        <v>108</v>
      </c>
      <c r="B27" s="17" t="s">
        <v>2005</v>
      </c>
      <c r="D27" s="388" t="s">
        <v>2006</v>
      </c>
      <c r="F27" s="166"/>
      <c r="G27" s="166"/>
      <c r="H27" s="381">
        <f>'29-RetailRates-2'!E28</f>
        <v>397561552</v>
      </c>
      <c r="I27" s="740" t="s">
        <v>1989</v>
      </c>
      <c r="J27" s="741"/>
      <c r="K27" s="126"/>
      <c r="L27" s="381">
        <f>'29-RetailRates-2'!E28</f>
        <v>397561552</v>
      </c>
      <c r="M27" s="744">
        <f ca="1">H27*$J$31/L27</f>
        <v>3.4759768605017005E-2</v>
      </c>
      <c r="N27" s="133">
        <f>A27</f>
        <v>108</v>
      </c>
    </row>
    <row r="28" spans="1:14">
      <c r="A28" s="133"/>
      <c r="D28" s="388"/>
      <c r="F28" s="166"/>
      <c r="G28" s="166"/>
      <c r="H28" s="381"/>
      <c r="I28" s="740"/>
      <c r="J28" s="741"/>
      <c r="K28" s="144"/>
      <c r="L28" s="381"/>
      <c r="N28" s="17"/>
    </row>
    <row r="29" spans="1:14">
      <c r="A29" s="133">
        <f>A27+1</f>
        <v>109</v>
      </c>
      <c r="B29" s="17" t="s">
        <v>2007</v>
      </c>
      <c r="D29" s="388" t="s">
        <v>2008</v>
      </c>
      <c r="F29" s="166"/>
      <c r="G29" s="166"/>
      <c r="H29" s="735">
        <f>'29-RetailRates-2'!E30</f>
        <v>6171587359</v>
      </c>
      <c r="I29" s="740" t="s">
        <v>1989</v>
      </c>
      <c r="J29" s="741"/>
      <c r="K29" s="126"/>
      <c r="L29" s="381">
        <f>'29-RetailRates-2'!E30</f>
        <v>6171587359</v>
      </c>
      <c r="M29" s="744">
        <f ca="1">H29*$J$31/L29</f>
        <v>3.4759768605017005E-2</v>
      </c>
      <c r="N29" s="133">
        <f>A29</f>
        <v>109</v>
      </c>
    </row>
    <row r="30" spans="1:14">
      <c r="A30" s="133"/>
      <c r="D30" s="388"/>
      <c r="F30" s="166"/>
      <c r="G30" s="166"/>
      <c r="H30" s="381"/>
      <c r="I30" s="740"/>
      <c r="J30" s="741"/>
      <c r="K30" s="126"/>
      <c r="L30" s="381"/>
      <c r="N30" s="17"/>
    </row>
    <row r="31" spans="1:14">
      <c r="A31" s="133">
        <f>A29+1</f>
        <v>110</v>
      </c>
      <c r="B31" s="745" t="s">
        <v>2009</v>
      </c>
      <c r="C31" s="223"/>
      <c r="D31" s="733"/>
      <c r="E31" s="223"/>
      <c r="F31" s="487">
        <f ca="1">+'29-RetailRates-2'!M32</f>
        <v>228342096.07825944</v>
      </c>
      <c r="G31" s="734"/>
      <c r="H31" s="735">
        <f>SUM(H27:H29)</f>
        <v>6569148911</v>
      </c>
      <c r="I31" s="736" t="s">
        <v>1989</v>
      </c>
      <c r="J31" s="737">
        <f ca="1">F31/H31</f>
        <v>3.4759768605017005E-2</v>
      </c>
      <c r="K31" s="738" t="s">
        <v>1990</v>
      </c>
      <c r="L31" s="735"/>
      <c r="M31" s="747"/>
      <c r="N31" s="133">
        <f>A31</f>
        <v>110</v>
      </c>
    </row>
    <row r="32" spans="1:14">
      <c r="A32" s="133"/>
      <c r="D32" s="388"/>
      <c r="F32" s="166"/>
      <c r="G32" s="166"/>
      <c r="H32" s="381"/>
      <c r="I32" s="740"/>
      <c r="J32" s="741"/>
      <c r="K32" s="144"/>
      <c r="L32" s="381"/>
      <c r="N32" s="17"/>
    </row>
    <row r="33" spans="1:16">
      <c r="A33" s="133">
        <f>A31+1</f>
        <v>111</v>
      </c>
      <c r="B33" s="17" t="s">
        <v>2010</v>
      </c>
      <c r="D33" s="388" t="s">
        <v>1998</v>
      </c>
      <c r="F33" s="166"/>
      <c r="G33" s="166"/>
      <c r="H33" s="742">
        <v>10996890</v>
      </c>
      <c r="I33" s="740" t="s">
        <v>1996</v>
      </c>
      <c r="J33" s="743"/>
      <c r="K33" s="126"/>
      <c r="L33" s="381">
        <f>'29-RetailRates-2'!E34</f>
        <v>5743354916</v>
      </c>
      <c r="M33" s="744">
        <f ca="1">+H33*$J$39/L33</f>
        <v>2.7187599994104285E-2</v>
      </c>
      <c r="N33" s="133">
        <f>A33</f>
        <v>111</v>
      </c>
    </row>
    <row r="34" spans="1:16">
      <c r="A34" s="133"/>
      <c r="D34" s="388"/>
      <c r="F34" s="166"/>
      <c r="G34" s="166"/>
      <c r="H34" s="381"/>
      <c r="I34" s="740"/>
      <c r="J34" s="743"/>
      <c r="K34" s="144"/>
      <c r="L34" s="381"/>
      <c r="N34" s="17"/>
    </row>
    <row r="35" spans="1:16">
      <c r="A35" s="133">
        <f>A33+1</f>
        <v>112</v>
      </c>
      <c r="B35" s="17" t="s">
        <v>2010</v>
      </c>
      <c r="D35" s="388" t="s">
        <v>1999</v>
      </c>
      <c r="F35" s="166"/>
      <c r="G35" s="166"/>
      <c r="H35" s="742">
        <v>13080927</v>
      </c>
      <c r="I35" s="740" t="s">
        <v>1996</v>
      </c>
      <c r="J35" s="743"/>
      <c r="K35" s="126"/>
      <c r="L35" s="381">
        <f>'29-RetailRates-2'!E36</f>
        <v>6321274535</v>
      </c>
      <c r="M35" s="744">
        <f ca="1">+H35*$J$39/L35</f>
        <v>2.9383296342938379E-2</v>
      </c>
      <c r="N35" s="133">
        <f>A35</f>
        <v>112</v>
      </c>
    </row>
    <row r="36" spans="1:16">
      <c r="A36" s="133"/>
      <c r="D36" s="388"/>
      <c r="F36" s="166"/>
      <c r="G36" s="166"/>
      <c r="H36" s="381"/>
      <c r="I36" s="740"/>
      <c r="J36" s="743"/>
      <c r="K36" s="144"/>
      <c r="L36" s="381"/>
      <c r="N36" s="17"/>
    </row>
    <row r="37" spans="1:16">
      <c r="A37" s="133">
        <f>A35+1</f>
        <v>113</v>
      </c>
      <c r="B37" s="17" t="s">
        <v>2010</v>
      </c>
      <c r="D37" s="388" t="s">
        <v>2000</v>
      </c>
      <c r="F37" s="166"/>
      <c r="G37" s="166"/>
      <c r="H37" s="384">
        <v>4009315</v>
      </c>
      <c r="I37" s="740" t="s">
        <v>1996</v>
      </c>
      <c r="J37" s="743"/>
      <c r="K37" s="126"/>
      <c r="L37" s="381">
        <f>'29-RetailRates-2'!E38</f>
        <v>1821435326</v>
      </c>
      <c r="M37" s="744">
        <f ca="1">+H37*$J$39/L37</f>
        <v>3.1255256618045166E-2</v>
      </c>
      <c r="N37" s="133">
        <f>A37</f>
        <v>113</v>
      </c>
    </row>
    <row r="38" spans="1:16">
      <c r="A38" s="133"/>
      <c r="D38" s="388"/>
      <c r="F38" s="166"/>
      <c r="G38" s="381"/>
      <c r="H38" s="381"/>
      <c r="I38" s="409"/>
      <c r="J38" s="743"/>
      <c r="K38" s="126"/>
      <c r="L38" s="381"/>
      <c r="N38" s="17"/>
    </row>
    <row r="39" spans="1:16">
      <c r="A39" s="133">
        <f>A37+1</f>
        <v>114</v>
      </c>
      <c r="B39" s="745" t="s">
        <v>2011</v>
      </c>
      <c r="C39" s="223"/>
      <c r="D39" s="733"/>
      <c r="E39" s="223"/>
      <c r="F39" s="487">
        <f ca="1">+'29-RetailRates-2'!M40</f>
        <v>398817347.53465813</v>
      </c>
      <c r="G39" s="735"/>
      <c r="H39" s="735">
        <f>SUM(H33:H37)</f>
        <v>28087132</v>
      </c>
      <c r="I39" s="736" t="s">
        <v>1996</v>
      </c>
      <c r="J39" s="746">
        <f ca="1">F39/H39</f>
        <v>14.199290533994647</v>
      </c>
      <c r="K39" s="738" t="s">
        <v>2002</v>
      </c>
      <c r="L39" s="735"/>
      <c r="M39" s="747"/>
      <c r="N39" s="133">
        <f>A39</f>
        <v>114</v>
      </c>
    </row>
    <row r="40" spans="1:16">
      <c r="A40" s="133"/>
      <c r="D40" s="388"/>
      <c r="F40" s="166"/>
      <c r="G40" s="381"/>
      <c r="H40" s="381"/>
      <c r="I40" s="409"/>
      <c r="J40" s="408"/>
      <c r="K40" s="144"/>
      <c r="L40" s="381"/>
      <c r="N40" s="17"/>
    </row>
    <row r="41" spans="1:16">
      <c r="A41" s="133">
        <f>A39+1</f>
        <v>115</v>
      </c>
      <c r="B41" s="17" t="s">
        <v>2012</v>
      </c>
      <c r="D41" s="388" t="s">
        <v>1998</v>
      </c>
      <c r="F41" s="748"/>
      <c r="G41" s="166"/>
      <c r="H41" s="742">
        <v>7206768</v>
      </c>
      <c r="I41" s="740" t="s">
        <v>1996</v>
      </c>
      <c r="J41" s="877"/>
      <c r="K41" s="877"/>
      <c r="L41" s="381">
        <f>'29-RetailRates-2'!E45</f>
        <v>452505129</v>
      </c>
      <c r="M41" s="749">
        <f ca="1">($J$46*H41*0.85+$J$44*L41)/L41</f>
        <v>3.7409870138628315E-2</v>
      </c>
      <c r="N41" s="133">
        <f>A41</f>
        <v>115</v>
      </c>
    </row>
    <row r="42" spans="1:16">
      <c r="A42" s="133"/>
      <c r="D42" s="388"/>
      <c r="F42" s="748"/>
      <c r="G42" s="166"/>
      <c r="H42" s="381"/>
      <c r="I42" s="740"/>
      <c r="J42" s="729"/>
      <c r="K42" s="750"/>
      <c r="L42" s="381"/>
      <c r="M42" s="751"/>
      <c r="N42" s="17"/>
    </row>
    <row r="43" spans="1:16">
      <c r="A43" s="133">
        <f>A41+1</f>
        <v>116</v>
      </c>
      <c r="B43" s="17" t="s">
        <v>2012</v>
      </c>
      <c r="D43" s="388" t="s">
        <v>1999</v>
      </c>
      <c r="F43" s="748"/>
      <c r="G43" s="166"/>
      <c r="H43" s="742">
        <v>458684</v>
      </c>
      <c r="I43" s="740" t="s">
        <v>1996</v>
      </c>
      <c r="J43" s="877" t="s">
        <v>2013</v>
      </c>
      <c r="K43" s="877"/>
      <c r="L43" s="381">
        <f>'29-RetailRates-2'!E47</f>
        <v>13523930</v>
      </c>
      <c r="M43" s="749">
        <f ca="1">($J$46*H43*0.85+$J$44*L43)/L43</f>
        <v>5.8339174011788758E-2</v>
      </c>
      <c r="N43" s="133">
        <f>A43</f>
        <v>116</v>
      </c>
    </row>
    <row r="44" spans="1:16">
      <c r="A44" s="133"/>
      <c r="D44" s="388"/>
      <c r="F44" s="748"/>
      <c r="G44" s="166"/>
      <c r="H44" s="381"/>
      <c r="I44" s="740"/>
      <c r="J44" s="741">
        <f ca="1">(F47*0.5)/SUM(L41:L45)</f>
        <v>1.8881450062984844E-2</v>
      </c>
      <c r="K44" s="750" t="s">
        <v>1990</v>
      </c>
      <c r="L44" s="381"/>
      <c r="M44" s="751"/>
      <c r="N44" s="17"/>
    </row>
    <row r="45" spans="1:16">
      <c r="A45" s="133">
        <f>A43+1</f>
        <v>117</v>
      </c>
      <c r="B45" s="17" t="s">
        <v>2012</v>
      </c>
      <c r="D45" s="388" t="s">
        <v>2000</v>
      </c>
      <c r="F45" s="748"/>
      <c r="G45" s="166"/>
      <c r="H45" s="384">
        <v>72443</v>
      </c>
      <c r="I45" s="740" t="s">
        <v>1996</v>
      </c>
      <c r="J45" s="877" t="s">
        <v>2014</v>
      </c>
      <c r="K45" s="877"/>
      <c r="L45" s="381">
        <f>'29-RetailRates-2'!E49</f>
        <v>10740854</v>
      </c>
      <c r="M45" s="749">
        <f ca="1">($J$46*H45*0.85+$J$44*L45)/L45</f>
        <v>2.6728004043230807E-2</v>
      </c>
      <c r="N45" s="133">
        <f>A45</f>
        <v>117</v>
      </c>
    </row>
    <row r="46" spans="1:16">
      <c r="A46" s="133"/>
      <c r="D46" s="388"/>
      <c r="F46" s="748"/>
      <c r="G46" s="166"/>
      <c r="H46" s="381"/>
      <c r="I46" s="740"/>
      <c r="J46" s="743">
        <f ca="1">(F47*0.5)/(H47*0.85)</f>
        <v>1.3686815955902172</v>
      </c>
      <c r="K46" s="750" t="s">
        <v>2015</v>
      </c>
      <c r="L46" s="381"/>
      <c r="M46" s="751"/>
      <c r="N46" s="17"/>
    </row>
    <row r="47" spans="1:16">
      <c r="A47" s="133">
        <f>A45+1</f>
        <v>118</v>
      </c>
      <c r="B47" s="745" t="s">
        <v>2016</v>
      </c>
      <c r="C47" s="223"/>
      <c r="D47" s="733"/>
      <c r="E47" s="223"/>
      <c r="F47" s="487">
        <f ca="1">+'29-RetailRates-2'!M51</f>
        <v>18004214.607686259</v>
      </c>
      <c r="G47" s="735"/>
      <c r="H47" s="735">
        <f>SUM(H41:H45)</f>
        <v>7737895</v>
      </c>
      <c r="I47" s="736" t="s">
        <v>1996</v>
      </c>
      <c r="J47" s="223"/>
      <c r="K47" s="735"/>
      <c r="L47" s="735">
        <f>SUM(L41:L46)</f>
        <v>476769913</v>
      </c>
      <c r="M47" s="752">
        <f ca="1">($J$46*H47*0.85+$J$44*L47)/L47</f>
        <v>3.7762900125969688E-2</v>
      </c>
      <c r="N47" s="133">
        <f>A47</f>
        <v>118</v>
      </c>
      <c r="O47" s="27"/>
      <c r="P47" s="31"/>
    </row>
    <row r="48" spans="1:16">
      <c r="A48" s="133"/>
      <c r="C48" s="753"/>
      <c r="D48" s="754"/>
      <c r="E48" s="754"/>
      <c r="F48" s="754"/>
      <c r="G48" s="755"/>
      <c r="H48" s="748"/>
      <c r="J48" s="756"/>
      <c r="L48" s="381"/>
      <c r="M48" s="17"/>
      <c r="N48" s="17"/>
    </row>
    <row r="49" spans="1:14">
      <c r="A49" s="133">
        <f>A47+1</f>
        <v>119</v>
      </c>
      <c r="B49" s="144" t="s">
        <v>465</v>
      </c>
      <c r="D49" s="17" t="s">
        <v>2017</v>
      </c>
      <c r="F49" s="466">
        <f ca="1">SUM(F10:F47)</f>
        <v>3181046493.0454745</v>
      </c>
      <c r="G49" s="381"/>
      <c r="L49" s="381">
        <f>SUM(L11:L45)</f>
        <v>79644944528</v>
      </c>
      <c r="M49" s="744">
        <f ca="1">F49/L49</f>
        <v>3.9940344134801235E-2</v>
      </c>
      <c r="N49" s="133">
        <f>A49</f>
        <v>119</v>
      </c>
    </row>
    <row r="50" spans="1:14">
      <c r="B50" s="144"/>
      <c r="F50" s="757"/>
      <c r="G50" s="381"/>
      <c r="L50" s="381"/>
      <c r="M50" s="744"/>
      <c r="N50" s="17"/>
    </row>
    <row r="51" spans="1:14">
      <c r="F51" s="758"/>
      <c r="G51" s="381"/>
      <c r="H51" s="510"/>
      <c r="J51" s="510"/>
      <c r="L51" s="381"/>
      <c r="M51" s="744"/>
      <c r="N51" s="17"/>
    </row>
    <row r="52" spans="1:14">
      <c r="B52" s="208" t="s">
        <v>306</v>
      </c>
      <c r="E52" s="383"/>
      <c r="F52" s="219"/>
      <c r="G52" s="17"/>
      <c r="L52" s="381"/>
      <c r="M52" s="17"/>
      <c r="N52" s="17"/>
    </row>
    <row r="53" spans="1:14">
      <c r="B53" s="841" t="s">
        <v>2018</v>
      </c>
      <c r="C53" s="841"/>
      <c r="D53" s="841"/>
      <c r="E53" s="841"/>
      <c r="F53" s="841"/>
      <c r="G53" s="841"/>
      <c r="H53" s="841"/>
      <c r="I53" s="841"/>
      <c r="J53" s="841"/>
      <c r="K53" s="841"/>
      <c r="L53" s="841"/>
      <c r="M53" s="841"/>
      <c r="N53" s="17"/>
    </row>
    <row r="54" spans="1:14">
      <c r="B54" s="840" t="s">
        <v>2019</v>
      </c>
      <c r="C54" s="840"/>
      <c r="D54" s="840"/>
      <c r="E54" s="840"/>
      <c r="F54" s="840"/>
      <c r="G54" s="840"/>
      <c r="H54" s="840"/>
      <c r="I54" s="840"/>
      <c r="J54" s="840"/>
      <c r="K54" s="840"/>
      <c r="L54" s="840"/>
      <c r="M54" s="840"/>
      <c r="N54" s="17"/>
    </row>
    <row r="55" spans="1:14">
      <c r="B55" s="840"/>
      <c r="C55" s="840"/>
      <c r="D55" s="840"/>
      <c r="E55" s="840"/>
      <c r="F55" s="840"/>
      <c r="G55" s="840"/>
      <c r="H55" s="840"/>
      <c r="I55" s="840"/>
      <c r="J55" s="840"/>
      <c r="K55" s="840"/>
      <c r="L55" s="840"/>
      <c r="M55" s="840"/>
      <c r="N55" s="17"/>
    </row>
    <row r="56" spans="1:14">
      <c r="B56" s="840" t="s">
        <v>2020</v>
      </c>
      <c r="C56" s="840"/>
      <c r="D56" s="840"/>
      <c r="E56" s="840"/>
      <c r="F56" s="840"/>
      <c r="G56" s="840"/>
      <c r="H56" s="840"/>
      <c r="I56" s="840"/>
      <c r="J56" s="840"/>
      <c r="K56" s="840"/>
      <c r="L56" s="840"/>
      <c r="M56" s="840"/>
      <c r="N56" s="17"/>
    </row>
    <row r="57" spans="1:14" ht="29.5" customHeight="1">
      <c r="B57" s="840"/>
      <c r="C57" s="840"/>
      <c r="D57" s="840"/>
      <c r="E57" s="840"/>
      <c r="F57" s="840"/>
      <c r="G57" s="840"/>
      <c r="H57" s="840"/>
      <c r="I57" s="840"/>
      <c r="J57" s="840"/>
      <c r="K57" s="840"/>
      <c r="L57" s="840"/>
      <c r="M57" s="840"/>
      <c r="N57" s="17"/>
    </row>
    <row r="144" spans="11:11">
      <c r="K144" s="381" t="e">
        <f>E30/E144*E151</f>
        <v>#DIV/0!</v>
      </c>
    </row>
    <row r="160" spans="10:10">
      <c r="J160" s="17">
        <f>E160-D160</f>
        <v>0</v>
      </c>
    </row>
  </sheetData>
  <mergeCells count="7">
    <mergeCell ref="B57:M57"/>
    <mergeCell ref="J41:K41"/>
    <mergeCell ref="J43:K43"/>
    <mergeCell ref="J45:K45"/>
    <mergeCell ref="B53:M53"/>
    <mergeCell ref="B54:M55"/>
    <mergeCell ref="B56:M56"/>
  </mergeCells>
  <printOptions horizontalCentered="1"/>
  <pageMargins left="1" right="1" top="1" bottom="1" header="0.5" footer="0.5"/>
  <pageSetup scale="59"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2A349-CE99-416F-A270-8DC54C9D19D7}">
  <sheetPr>
    <pageSetUpPr fitToPage="1"/>
  </sheetPr>
  <dimension ref="A1:P160"/>
  <sheetViews>
    <sheetView tabSelected="1" view="pageBreakPreview" topLeftCell="A29" zoomScale="70" zoomScaleSheetLayoutView="70" workbookViewId="0">
      <selection activeCell="E174" sqref="E174"/>
    </sheetView>
  </sheetViews>
  <sheetFormatPr defaultColWidth="8.81640625" defaultRowHeight="14.5"/>
  <cols>
    <col min="1" max="2" width="5.7265625" style="17" customWidth="1"/>
    <col min="3" max="3" width="18.453125" style="17" customWidth="1"/>
    <col min="4" max="4" width="19.54296875" style="381" customWidth="1"/>
    <col min="5" max="5" width="19.26953125" style="17" customWidth="1"/>
    <col min="6" max="6" width="16.7265625" style="17" customWidth="1"/>
    <col min="7" max="7" width="18.54296875" style="17" customWidth="1"/>
    <col min="8" max="8" width="10.453125" style="17" customWidth="1"/>
    <col min="9" max="9" width="18.54296875" style="17" customWidth="1"/>
    <col min="10" max="10" width="13.453125" style="17" customWidth="1"/>
    <col min="11" max="11" width="25.1796875" style="386" customWidth="1"/>
    <col min="12" max="12" width="16.54296875" style="386" customWidth="1"/>
    <col min="13" max="13" width="21.26953125" style="27" customWidth="1"/>
    <col min="14" max="14" width="6.7265625" style="17" customWidth="1"/>
    <col min="15" max="15" width="12.7265625" style="381" customWidth="1"/>
    <col min="16" max="16384" width="8.81640625" style="17"/>
  </cols>
  <sheetData>
    <row r="1" spans="1:16">
      <c r="B1" s="203" t="s">
        <v>75</v>
      </c>
      <c r="M1" s="15" t="s">
        <v>1969</v>
      </c>
    </row>
    <row r="2" spans="1:16">
      <c r="B2" s="203" t="s">
        <v>2021</v>
      </c>
      <c r="C2" s="385"/>
      <c r="D2" s="407"/>
      <c r="E2" s="2"/>
      <c r="F2" s="2"/>
      <c r="K2" s="408"/>
      <c r="L2" s="408">
        <v>5</v>
      </c>
      <c r="M2" s="132" t="s">
        <v>2022</v>
      </c>
    </row>
    <row r="3" spans="1:16">
      <c r="B3" s="415" t="s">
        <v>131</v>
      </c>
      <c r="C3" s="415"/>
      <c r="D3" s="415"/>
      <c r="E3" s="2"/>
      <c r="F3" s="2"/>
      <c r="K3" s="408"/>
      <c r="L3" s="408"/>
    </row>
    <row r="4" spans="1:16" ht="15" thickBot="1">
      <c r="B4" s="203"/>
      <c r="C4" s="385"/>
      <c r="D4" s="407"/>
      <c r="E4" s="409"/>
      <c r="F4" s="2"/>
      <c r="G4" s="27"/>
      <c r="H4" s="27"/>
      <c r="I4" s="27"/>
      <c r="K4" s="408"/>
      <c r="L4" s="408"/>
      <c r="M4" s="132"/>
    </row>
    <row r="5" spans="1:16">
      <c r="B5" s="203"/>
      <c r="C5" s="730"/>
      <c r="D5" s="502" t="s">
        <v>371</v>
      </c>
      <c r="E5" s="503" t="s">
        <v>372</v>
      </c>
      <c r="F5" s="124" t="s">
        <v>373</v>
      </c>
      <c r="G5" s="124" t="s">
        <v>374</v>
      </c>
      <c r="H5" s="124" t="s">
        <v>375</v>
      </c>
      <c r="I5" s="504" t="s">
        <v>376</v>
      </c>
      <c r="J5" s="208"/>
      <c r="K5" s="503" t="s">
        <v>377</v>
      </c>
      <c r="L5" s="581" t="s">
        <v>378</v>
      </c>
      <c r="M5" s="124" t="s">
        <v>409</v>
      </c>
    </row>
    <row r="6" spans="1:16">
      <c r="B6" s="203"/>
      <c r="C6" s="730"/>
      <c r="D6" s="502"/>
      <c r="E6" s="503"/>
      <c r="F6" s="124"/>
      <c r="G6" s="124"/>
      <c r="H6" s="124"/>
      <c r="I6" s="504"/>
      <c r="J6" s="208"/>
      <c r="K6" s="503"/>
      <c r="L6" s="582"/>
      <c r="M6" s="124"/>
    </row>
    <row r="7" spans="1:16">
      <c r="B7" s="2"/>
      <c r="C7" s="385"/>
      <c r="D7" s="386" t="s">
        <v>111</v>
      </c>
      <c r="E7" s="386" t="s">
        <v>203</v>
      </c>
      <c r="F7" s="386" t="s">
        <v>251</v>
      </c>
      <c r="G7" s="759" t="s">
        <v>2023</v>
      </c>
      <c r="H7" s="386" t="s">
        <v>287</v>
      </c>
      <c r="I7" s="759" t="s">
        <v>2024</v>
      </c>
      <c r="K7" s="759" t="s">
        <v>2025</v>
      </c>
      <c r="L7" s="760" t="s">
        <v>2026</v>
      </c>
      <c r="M7" s="142" t="s">
        <v>2027</v>
      </c>
    </row>
    <row r="8" spans="1:16">
      <c r="D8" s="386" t="s">
        <v>2028</v>
      </c>
      <c r="E8" s="142" t="s">
        <v>2029</v>
      </c>
      <c r="F8" s="386" t="s">
        <v>2028</v>
      </c>
      <c r="G8" s="27" t="s">
        <v>2030</v>
      </c>
      <c r="H8" s="404" t="s">
        <v>2031</v>
      </c>
      <c r="I8" s="27" t="s">
        <v>2030</v>
      </c>
      <c r="K8" s="405" t="s">
        <v>2032</v>
      </c>
      <c r="L8" s="583" t="s">
        <v>2033</v>
      </c>
      <c r="M8" s="27" t="s">
        <v>1974</v>
      </c>
      <c r="P8" s="101"/>
    </row>
    <row r="9" spans="1:16">
      <c r="D9" s="761" t="s">
        <v>2034</v>
      </c>
      <c r="E9" s="406" t="s">
        <v>2035</v>
      </c>
      <c r="F9" s="761" t="str">
        <f>D9</f>
        <v>5-Year Historical</v>
      </c>
      <c r="G9" s="762" t="str">
        <f>CONCATENATE("Scaled to ",E4)</f>
        <v xml:space="preserve">Scaled to </v>
      </c>
      <c r="H9" s="404" t="s">
        <v>2036</v>
      </c>
      <c r="I9" s="405" t="s">
        <v>2037</v>
      </c>
      <c r="K9" s="405" t="s">
        <v>2038</v>
      </c>
      <c r="L9" s="583" t="s">
        <v>2039</v>
      </c>
      <c r="M9" s="27" t="s">
        <v>1981</v>
      </c>
      <c r="P9" s="101"/>
    </row>
    <row r="10" spans="1:16">
      <c r="A10" s="121" t="s">
        <v>100</v>
      </c>
      <c r="B10" s="732" t="s">
        <v>1979</v>
      </c>
      <c r="C10" s="732" t="s">
        <v>1980</v>
      </c>
      <c r="D10" s="763" t="s">
        <v>1985</v>
      </c>
      <c r="E10" s="732" t="s">
        <v>1985</v>
      </c>
      <c r="F10" s="732" t="s">
        <v>2040</v>
      </c>
      <c r="G10" s="732" t="s">
        <v>2040</v>
      </c>
      <c r="H10" s="764" t="s">
        <v>2041</v>
      </c>
      <c r="I10" s="732" t="s">
        <v>2040</v>
      </c>
      <c r="J10" s="117"/>
      <c r="K10" s="765" t="s">
        <v>2042</v>
      </c>
      <c r="L10" s="584" t="s">
        <v>2043</v>
      </c>
      <c r="M10" s="732" t="s">
        <v>2044</v>
      </c>
      <c r="N10" s="121" t="str">
        <f>A10</f>
        <v>Line</v>
      </c>
      <c r="P10" s="101"/>
    </row>
    <row r="11" spans="1:16">
      <c r="H11" s="404"/>
      <c r="K11" s="403"/>
      <c r="L11" s="585"/>
      <c r="M11" s="144"/>
      <c r="P11" s="101"/>
    </row>
    <row r="12" spans="1:16">
      <c r="A12" s="133">
        <v>100</v>
      </c>
      <c r="B12" s="17" t="s">
        <v>1987</v>
      </c>
      <c r="C12" s="17" t="s">
        <v>1988</v>
      </c>
      <c r="D12" s="742">
        <v>28496540705</v>
      </c>
      <c r="E12" s="742">
        <v>27986117172</v>
      </c>
      <c r="F12" s="396">
        <v>72869423</v>
      </c>
      <c r="G12" s="381">
        <f>(E12/D12)*F12</f>
        <v>71564202.527088165</v>
      </c>
      <c r="H12" s="766">
        <v>1.1384794179171955</v>
      </c>
      <c r="I12" s="767">
        <f>H12*G12</f>
        <v>81474371.636747628</v>
      </c>
      <c r="K12" s="768">
        <f>I12/I$42</f>
        <v>0.4651878700151878</v>
      </c>
      <c r="L12" s="769">
        <f>(I12/I$42)*L$42</f>
        <v>0.46255498103888509</v>
      </c>
      <c r="M12" s="466">
        <f ca="1">L12*$M$56</f>
        <v>1471408900.2744615</v>
      </c>
      <c r="N12" s="133">
        <f>A12</f>
        <v>100</v>
      </c>
      <c r="P12" s="101"/>
    </row>
    <row r="13" spans="1:16">
      <c r="A13" s="133"/>
      <c r="D13" s="767" t="s">
        <v>2045</v>
      </c>
      <c r="E13" s="742">
        <v>46977</v>
      </c>
      <c r="F13" s="398"/>
      <c r="G13" s="381"/>
      <c r="H13" s="404"/>
      <c r="I13" s="381"/>
      <c r="K13" s="768"/>
      <c r="L13" s="769"/>
      <c r="M13" s="166"/>
      <c r="N13" s="133"/>
      <c r="P13" s="101"/>
    </row>
    <row r="14" spans="1:16">
      <c r="A14" s="133">
        <f>A12+1</f>
        <v>101</v>
      </c>
      <c r="B14" s="17" t="s">
        <v>1992</v>
      </c>
      <c r="C14" s="17" t="s">
        <v>1993</v>
      </c>
      <c r="D14" s="742">
        <v>8160989959</v>
      </c>
      <c r="E14" s="742">
        <v>8170970533</v>
      </c>
      <c r="F14" s="396">
        <v>14570749</v>
      </c>
      <c r="G14" s="381">
        <f>(E14/D14)*F14</f>
        <v>14588568.460550806</v>
      </c>
      <c r="H14" s="404">
        <f>$H$12</f>
        <v>1.1384794179171955</v>
      </c>
      <c r="I14" s="767">
        <f>H14*G14</f>
        <v>16608784.929213038</v>
      </c>
      <c r="K14" s="768">
        <f>I14/I$42</f>
        <v>9.4829884901820968E-2</v>
      </c>
      <c r="L14" s="769">
        <f>(I14/I$42)*L$42</f>
        <v>9.429316291340388E-2</v>
      </c>
      <c r="M14" s="466">
        <f ca="1">L14*$M$56</f>
        <v>299950935.20384908</v>
      </c>
      <c r="N14" s="133">
        <f>A14</f>
        <v>101</v>
      </c>
      <c r="P14" s="101"/>
    </row>
    <row r="15" spans="1:16">
      <c r="A15" s="133"/>
      <c r="E15" s="381"/>
      <c r="F15" s="398"/>
      <c r="G15" s="381"/>
      <c r="H15" s="404"/>
      <c r="I15" s="381"/>
      <c r="K15" s="768"/>
      <c r="L15" s="769"/>
      <c r="M15" s="757"/>
      <c r="N15" s="133"/>
      <c r="P15" s="101"/>
    </row>
    <row r="16" spans="1:16">
      <c r="A16" s="133">
        <f>A14+1</f>
        <v>102</v>
      </c>
      <c r="B16" s="17" t="s">
        <v>1994</v>
      </c>
      <c r="C16" s="17" t="s">
        <v>1995</v>
      </c>
      <c r="D16" s="742">
        <v>8254004798</v>
      </c>
      <c r="E16" s="742">
        <v>7905628709</v>
      </c>
      <c r="F16" s="396">
        <v>14077219</v>
      </c>
      <c r="G16" s="381">
        <f>(E16/D16)*F16</f>
        <v>13483062.997037074</v>
      </c>
      <c r="H16" s="404">
        <f>$H$12</f>
        <v>1.1384794179171955</v>
      </c>
      <c r="I16" s="767">
        <f>H16*G16</f>
        <v>15350189.712607646</v>
      </c>
      <c r="K16" s="768"/>
      <c r="L16" s="769"/>
      <c r="M16" s="757"/>
      <c r="N16" s="133">
        <f>A16</f>
        <v>102</v>
      </c>
      <c r="P16" s="101"/>
    </row>
    <row r="17" spans="1:16">
      <c r="A17" s="133"/>
      <c r="E17" s="381"/>
      <c r="F17" s="398"/>
      <c r="G17" s="381"/>
      <c r="H17" s="404"/>
      <c r="I17" s="381"/>
      <c r="K17" s="768"/>
      <c r="L17" s="769"/>
      <c r="M17" s="757"/>
      <c r="N17" s="133"/>
      <c r="P17" s="101"/>
    </row>
    <row r="18" spans="1:16">
      <c r="A18" s="133">
        <f>A16+1</f>
        <v>103</v>
      </c>
      <c r="B18" s="17" t="s">
        <v>1997</v>
      </c>
      <c r="C18" s="17" t="s">
        <v>1998</v>
      </c>
      <c r="D18" s="742">
        <v>34944741</v>
      </c>
      <c r="E18" s="401">
        <v>47969131</v>
      </c>
      <c r="F18" s="396">
        <v>52369</v>
      </c>
      <c r="G18" s="381">
        <f>(E18/D18)*F18</f>
        <v>71887.653176167471</v>
      </c>
      <c r="H18" s="766">
        <v>1.0435094</v>
      </c>
      <c r="I18" s="767">
        <f>H18*G18</f>
        <v>75015.441833270612</v>
      </c>
      <c r="K18" s="768"/>
      <c r="L18" s="769"/>
      <c r="M18" s="757"/>
      <c r="N18" s="133">
        <f>A18</f>
        <v>103</v>
      </c>
      <c r="P18" s="101"/>
    </row>
    <row r="19" spans="1:16">
      <c r="A19" s="133"/>
      <c r="E19" s="402"/>
      <c r="F19" s="398"/>
      <c r="G19" s="381"/>
      <c r="H19" s="404"/>
      <c r="I19" s="381"/>
      <c r="K19" s="768"/>
      <c r="L19" s="769"/>
      <c r="M19" s="757"/>
      <c r="N19" s="133"/>
      <c r="P19" s="101"/>
    </row>
    <row r="20" spans="1:16">
      <c r="A20" s="133">
        <f>A18+1</f>
        <v>104</v>
      </c>
      <c r="B20" s="17" t="s">
        <v>1997</v>
      </c>
      <c r="C20" s="17" t="s">
        <v>1999</v>
      </c>
      <c r="D20" s="742">
        <v>1073071755</v>
      </c>
      <c r="E20" s="401">
        <v>1295857674</v>
      </c>
      <c r="F20" s="396">
        <v>1639231</v>
      </c>
      <c r="G20" s="381">
        <f>(E20/D20)*F20</f>
        <v>1979560.1374380542</v>
      </c>
      <c r="H20" s="766">
        <v>1.074143946010695</v>
      </c>
      <c r="I20" s="767">
        <f>H20*G20</f>
        <v>2126332.5373931853</v>
      </c>
      <c r="K20" s="768"/>
      <c r="L20" s="769"/>
      <c r="M20" s="757"/>
      <c r="N20" s="133">
        <f>A20</f>
        <v>104</v>
      </c>
      <c r="P20" s="101"/>
    </row>
    <row r="21" spans="1:16">
      <c r="A21" s="133"/>
      <c r="E21" s="402"/>
      <c r="F21" s="398"/>
      <c r="G21" s="381"/>
      <c r="H21" s="404"/>
      <c r="I21" s="381"/>
      <c r="K21" s="768"/>
      <c r="L21" s="769"/>
      <c r="M21" s="757"/>
      <c r="N21" s="133"/>
      <c r="P21" s="101"/>
    </row>
    <row r="22" spans="1:16">
      <c r="A22" s="133">
        <f>A20+1</f>
        <v>105</v>
      </c>
      <c r="B22" s="17" t="s">
        <v>1997</v>
      </c>
      <c r="C22" s="17" t="s">
        <v>2000</v>
      </c>
      <c r="D22" s="742">
        <v>11941630330</v>
      </c>
      <c r="E22" s="401">
        <v>13079422246</v>
      </c>
      <c r="F22" s="396">
        <v>19552468</v>
      </c>
      <c r="G22" s="381">
        <f>(E22/D22)*F22</f>
        <v>21415416.308855299</v>
      </c>
      <c r="H22" s="404">
        <f>$H$12</f>
        <v>1.1384794179171955</v>
      </c>
      <c r="I22" s="767">
        <f>H22*G22</f>
        <v>24381010.693759996</v>
      </c>
      <c r="K22" s="768"/>
      <c r="L22" s="769"/>
      <c r="M22" s="757"/>
      <c r="N22" s="133">
        <f>A22</f>
        <v>105</v>
      </c>
      <c r="P22" s="101"/>
    </row>
    <row r="23" spans="1:16">
      <c r="A23" s="133"/>
      <c r="E23" s="381"/>
      <c r="F23" s="398"/>
      <c r="G23" s="381"/>
      <c r="H23" s="404"/>
      <c r="I23" s="381"/>
      <c r="K23" s="768"/>
      <c r="L23" s="769"/>
      <c r="M23" s="757"/>
      <c r="N23" s="133"/>
      <c r="P23" s="101"/>
    </row>
    <row r="24" spans="1:16">
      <c r="A24" s="133">
        <f>A22+1</f>
        <v>106</v>
      </c>
      <c r="B24" s="17" t="s">
        <v>2001</v>
      </c>
      <c r="D24" s="381">
        <f>SUM(D16,D18,D20,D22)</f>
        <v>21303651624</v>
      </c>
      <c r="E24" s="381">
        <f t="shared" ref="E24:F24" si="0">SUM(E16,E18,E20,E22)</f>
        <v>22328877760</v>
      </c>
      <c r="F24" s="381">
        <f t="shared" si="0"/>
        <v>35321287</v>
      </c>
      <c r="G24" s="381">
        <f>SUM(G16:G22)</f>
        <v>36949927.096506596</v>
      </c>
      <c r="H24" s="381"/>
      <c r="I24" s="381">
        <f>SUM(I16:I22)</f>
        <v>41932548.3855941</v>
      </c>
      <c r="K24" s="768">
        <f>I24/I$42</f>
        <v>0.23941900349686454</v>
      </c>
      <c r="L24" s="769">
        <f>(I24/I$42)*L$42</f>
        <v>0.2380639302121641</v>
      </c>
      <c r="M24" s="466">
        <f ca="1">L24*$M$56</f>
        <v>757292430.32202733</v>
      </c>
      <c r="N24" s="133">
        <f>A24</f>
        <v>106</v>
      </c>
      <c r="P24" s="101"/>
    </row>
    <row r="25" spans="1:16">
      <c r="A25" s="133"/>
      <c r="E25" s="381"/>
      <c r="F25" s="398"/>
      <c r="G25" s="381"/>
      <c r="H25" s="404"/>
      <c r="I25" s="381"/>
      <c r="K25" s="768"/>
      <c r="L25" s="769"/>
      <c r="M25" s="757"/>
      <c r="N25" s="133"/>
      <c r="P25" s="101"/>
    </row>
    <row r="26" spans="1:16">
      <c r="A26" s="133">
        <f>A24+1</f>
        <v>107</v>
      </c>
      <c r="B26" s="17" t="s">
        <v>2003</v>
      </c>
      <c r="C26" s="17" t="s">
        <v>2004</v>
      </c>
      <c r="D26" s="742">
        <v>275078700</v>
      </c>
      <c r="E26" s="742">
        <v>226995462</v>
      </c>
      <c r="F26" s="396">
        <v>426162</v>
      </c>
      <c r="G26" s="381">
        <f>(E26/D26)*F26</f>
        <v>351669.68608199764</v>
      </c>
      <c r="H26" s="404">
        <f>$H$12</f>
        <v>1.1384794179171955</v>
      </c>
      <c r="I26" s="767">
        <f>H26*G26</f>
        <v>400368.69950975553</v>
      </c>
      <c r="K26" s="768">
        <f>I26/I$42</f>
        <v>2.2859539607874746E-3</v>
      </c>
      <c r="L26" s="769">
        <f>(I26/I$42)*L$42</f>
        <v>2.273015826817007E-3</v>
      </c>
      <c r="M26" s="466">
        <f ca="1">L26*$M$56</f>
        <v>7230569.0245331004</v>
      </c>
      <c r="N26" s="133">
        <f>A26</f>
        <v>107</v>
      </c>
      <c r="P26" s="101"/>
    </row>
    <row r="27" spans="1:16">
      <c r="A27" s="133"/>
      <c r="E27" s="381"/>
      <c r="F27" s="398"/>
      <c r="G27" s="381"/>
      <c r="H27" s="404"/>
      <c r="I27" s="381"/>
      <c r="K27" s="768"/>
      <c r="L27" s="769"/>
      <c r="M27" s="757"/>
      <c r="N27" s="133"/>
      <c r="P27" s="101"/>
    </row>
    <row r="28" spans="1:16">
      <c r="A28" s="133">
        <f>A26+1</f>
        <v>108</v>
      </c>
      <c r="B28" s="17" t="s">
        <v>2005</v>
      </c>
      <c r="C28" s="17" t="s">
        <v>2006</v>
      </c>
      <c r="D28" s="399">
        <v>492302512</v>
      </c>
      <c r="E28" s="742">
        <v>397561552</v>
      </c>
      <c r="F28" s="396">
        <v>763808</v>
      </c>
      <c r="G28" s="381">
        <f>(E28/D28)*F28</f>
        <v>616817.27496449579</v>
      </c>
      <c r="H28" s="404">
        <f>$H$12</f>
        <v>1.1384794179171955</v>
      </c>
      <c r="I28" s="767">
        <f>H28*G28</f>
        <v>702233.7721628499</v>
      </c>
      <c r="K28" s="768"/>
      <c r="L28" s="769"/>
      <c r="M28" s="757"/>
      <c r="N28" s="133">
        <f>A28</f>
        <v>108</v>
      </c>
      <c r="P28" s="101"/>
    </row>
    <row r="29" spans="1:16">
      <c r="A29" s="133"/>
      <c r="D29" s="400"/>
      <c r="E29" s="381"/>
      <c r="F29" s="398"/>
      <c r="G29" s="381"/>
      <c r="H29" s="404"/>
      <c r="I29" s="381"/>
      <c r="K29" s="768"/>
      <c r="L29" s="769"/>
      <c r="M29" s="757"/>
      <c r="N29" s="133"/>
      <c r="P29" s="101"/>
    </row>
    <row r="30" spans="1:16">
      <c r="A30" s="133">
        <f>A28+1</f>
        <v>109</v>
      </c>
      <c r="B30" s="17" t="s">
        <v>2007</v>
      </c>
      <c r="C30" s="17" t="s">
        <v>2008</v>
      </c>
      <c r="D30" s="399">
        <v>5488060003</v>
      </c>
      <c r="E30" s="742">
        <v>6171587359</v>
      </c>
      <c r="F30" s="396">
        <v>9327255</v>
      </c>
      <c r="G30" s="381">
        <f>(E30/D30)*F30</f>
        <v>10488946.73540426</v>
      </c>
      <c r="H30" s="404">
        <f>$H$12</f>
        <v>1.1384794179171955</v>
      </c>
      <c r="I30" s="767">
        <f>H30*G30</f>
        <v>11941449.973887511</v>
      </c>
      <c r="K30" s="768"/>
      <c r="L30" s="769"/>
      <c r="M30" s="757"/>
      <c r="N30" s="133">
        <f>A30</f>
        <v>109</v>
      </c>
      <c r="P30" s="101"/>
    </row>
    <row r="31" spans="1:16">
      <c r="A31" s="133"/>
      <c r="D31" s="17"/>
      <c r="E31" s="381"/>
      <c r="F31" s="398"/>
      <c r="G31" s="381"/>
      <c r="H31" s="404"/>
      <c r="I31" s="381"/>
      <c r="K31" s="768"/>
      <c r="L31" s="769"/>
      <c r="M31" s="757"/>
      <c r="N31" s="133"/>
      <c r="P31" s="101"/>
    </row>
    <row r="32" spans="1:16">
      <c r="A32" s="133">
        <f>A30+1</f>
        <v>110</v>
      </c>
      <c r="B32" s="17" t="s">
        <v>2009</v>
      </c>
      <c r="D32" s="381">
        <f>SUM(D28:D31)</f>
        <v>5980362515</v>
      </c>
      <c r="E32" s="381">
        <f>SUM(E28:E31)</f>
        <v>6569148911</v>
      </c>
      <c r="F32" s="381">
        <f>SUM(F28:F31)</f>
        <v>10091063</v>
      </c>
      <c r="G32" s="381">
        <f>SUM(G28:G31)</f>
        <v>11105764.010368757</v>
      </c>
      <c r="H32" s="404"/>
      <c r="I32" s="381">
        <f>SUM(I28:I31)</f>
        <v>12643683.74605036</v>
      </c>
      <c r="K32" s="768">
        <f>I32/I$42</f>
        <v>7.2190655697158906E-2</v>
      </c>
      <c r="L32" s="769">
        <f>(I32/I$42)*L$42</f>
        <v>7.1782068126784573E-2</v>
      </c>
      <c r="M32" s="466">
        <f ca="1">L32*$M$56</f>
        <v>228342096.07825944</v>
      </c>
      <c r="N32" s="133">
        <f>A32</f>
        <v>110</v>
      </c>
      <c r="P32" s="101"/>
    </row>
    <row r="33" spans="1:16">
      <c r="A33" s="133"/>
      <c r="D33" s="17"/>
      <c r="E33" s="381"/>
      <c r="F33" s="398"/>
      <c r="G33" s="381"/>
      <c r="H33" s="404"/>
      <c r="I33" s="381"/>
      <c r="K33" s="768"/>
      <c r="L33" s="769"/>
      <c r="M33" s="757"/>
      <c r="N33" s="133"/>
      <c r="P33" s="101"/>
    </row>
    <row r="34" spans="1:16">
      <c r="A34" s="133">
        <f>A32+1</f>
        <v>111</v>
      </c>
      <c r="B34" s="17" t="s">
        <v>2010</v>
      </c>
      <c r="C34" s="17" t="s">
        <v>1998</v>
      </c>
      <c r="D34" s="394">
        <v>5957481110</v>
      </c>
      <c r="E34" s="742">
        <v>5743354916</v>
      </c>
      <c r="F34" s="396">
        <v>8586365</v>
      </c>
      <c r="G34" s="381">
        <f>(E34/D34)*F34</f>
        <v>8277750.3986614132</v>
      </c>
      <c r="H34" s="404">
        <f>$H$18</f>
        <v>1.0435094</v>
      </c>
      <c r="I34" s="767">
        <f>H34*G34</f>
        <v>8637910.351856932</v>
      </c>
      <c r="K34" s="768"/>
      <c r="L34" s="769"/>
      <c r="M34" s="757"/>
      <c r="N34" s="133">
        <f>A34</f>
        <v>111</v>
      </c>
      <c r="P34" s="101"/>
    </row>
    <row r="35" spans="1:16">
      <c r="A35" s="133"/>
      <c r="D35" s="395"/>
      <c r="E35" s="381"/>
      <c r="F35" s="398"/>
      <c r="G35" s="381"/>
      <c r="H35" s="404"/>
      <c r="I35" s="381"/>
      <c r="K35" s="768"/>
      <c r="L35" s="769"/>
      <c r="M35" s="757"/>
      <c r="N35" s="133"/>
      <c r="P35" s="101"/>
    </row>
    <row r="36" spans="1:16">
      <c r="A36" s="133">
        <f>A34+1</f>
        <v>112</v>
      </c>
      <c r="B36" s="17" t="s">
        <v>2010</v>
      </c>
      <c r="C36" s="17" t="s">
        <v>1999</v>
      </c>
      <c r="D36" s="394">
        <v>6420528775</v>
      </c>
      <c r="E36" s="742">
        <v>6321274535</v>
      </c>
      <c r="F36" s="396">
        <v>9743047</v>
      </c>
      <c r="G36" s="381">
        <f>(E36/D36)*F36</f>
        <v>9592430.320415182</v>
      </c>
      <c r="H36" s="404">
        <f>$H$20</f>
        <v>1.074143946010695</v>
      </c>
      <c r="I36" s="767">
        <f>H36*G36</f>
        <v>10303650.956203399</v>
      </c>
      <c r="K36" s="768"/>
      <c r="L36" s="769"/>
      <c r="M36" s="757"/>
      <c r="N36" s="133">
        <f>A36</f>
        <v>112</v>
      </c>
      <c r="P36" s="101"/>
    </row>
    <row r="37" spans="1:16">
      <c r="A37" s="133"/>
      <c r="D37" s="395"/>
      <c r="E37" s="381"/>
      <c r="F37" s="398"/>
      <c r="G37" s="381"/>
      <c r="H37" s="404"/>
      <c r="I37" s="381"/>
      <c r="K37" s="768"/>
      <c r="L37" s="769"/>
      <c r="M37" s="757"/>
      <c r="N37" s="133"/>
      <c r="P37" s="101"/>
    </row>
    <row r="38" spans="1:16">
      <c r="A38" s="133">
        <f>A36+1</f>
        <v>113</v>
      </c>
      <c r="B38" s="17" t="s">
        <v>2010</v>
      </c>
      <c r="C38" s="17" t="s">
        <v>2000</v>
      </c>
      <c r="D38" s="394">
        <v>2228297318</v>
      </c>
      <c r="E38" s="742">
        <v>1821435326</v>
      </c>
      <c r="F38" s="396">
        <v>3375889</v>
      </c>
      <c r="G38" s="381">
        <f>(E38/D38)*F38</f>
        <v>2759489.6926832874</v>
      </c>
      <c r="H38" s="404">
        <f>$H$12</f>
        <v>1.1384794179171955</v>
      </c>
      <c r="I38" s="767">
        <f>H38*G38</f>
        <v>3141622.2190745696</v>
      </c>
      <c r="K38" s="768"/>
      <c r="L38" s="769"/>
      <c r="M38" s="757"/>
      <c r="N38" s="133">
        <f>A38</f>
        <v>113</v>
      </c>
      <c r="P38" s="101"/>
    </row>
    <row r="39" spans="1:16">
      <c r="A39" s="133"/>
      <c r="D39" s="395"/>
      <c r="E39" s="381"/>
      <c r="F39" s="397"/>
      <c r="G39" s="381"/>
      <c r="H39" s="404"/>
      <c r="I39" s="381"/>
      <c r="K39" s="768"/>
      <c r="L39" s="769"/>
      <c r="M39" s="757"/>
      <c r="N39" s="133"/>
      <c r="P39" s="101"/>
    </row>
    <row r="40" spans="1:16">
      <c r="A40" s="133">
        <f>A38+1</f>
        <v>114</v>
      </c>
      <c r="B40" s="17" t="s">
        <v>2011</v>
      </c>
      <c r="D40" s="381">
        <f>SUM(D34:D39)</f>
        <v>14606307203</v>
      </c>
      <c r="E40" s="381">
        <f>SUM(E34:E39)</f>
        <v>13886064777</v>
      </c>
      <c r="F40" s="381">
        <f>SUM(F34:F39)</f>
        <v>21705301</v>
      </c>
      <c r="G40" s="381">
        <f>SUM(G34:G39)</f>
        <v>20629670.411759883</v>
      </c>
      <c r="H40" s="404"/>
      <c r="I40" s="381">
        <f>SUM(I34:I39)</f>
        <v>22083183.527134903</v>
      </c>
      <c r="K40" s="768">
        <f>I40/I$42</f>
        <v>0.12608663192818026</v>
      </c>
      <c r="L40" s="769">
        <f>(I40/I$42)*L$42</f>
        <v>0.12537300174850252</v>
      </c>
      <c r="M40" s="466">
        <f ca="1">L40*$M$56</f>
        <v>398817347.53465813</v>
      </c>
      <c r="N40" s="133">
        <f>A40</f>
        <v>114</v>
      </c>
      <c r="P40" s="101"/>
    </row>
    <row r="41" spans="1:16">
      <c r="A41" s="133"/>
      <c r="D41" s="395"/>
      <c r="E41" s="381"/>
      <c r="F41" s="397"/>
      <c r="G41" s="381"/>
      <c r="H41" s="404"/>
      <c r="I41" s="381"/>
      <c r="K41" s="770"/>
      <c r="L41" s="769"/>
      <c r="M41" s="757"/>
      <c r="N41" s="133"/>
      <c r="P41" s="101"/>
    </row>
    <row r="42" spans="1:16">
      <c r="A42" s="133">
        <f>A40+1</f>
        <v>115</v>
      </c>
      <c r="B42" s="144" t="s">
        <v>2046</v>
      </c>
      <c r="C42" s="144"/>
      <c r="D42" s="408">
        <f>+D12+D14+D24+D26+D32+D40</f>
        <v>78822930706</v>
      </c>
      <c r="E42" s="408">
        <f>+E12+E14+E24+E26+E32+E40</f>
        <v>79168174615</v>
      </c>
      <c r="F42" s="408">
        <f>+F12+F14+F24+F26+F32+F40</f>
        <v>154983985</v>
      </c>
      <c r="G42" s="408">
        <f>+G12+G14+G24+G26+G32+G40</f>
        <v>155189802.1923562</v>
      </c>
      <c r="H42" s="144"/>
      <c r="I42" s="408">
        <f>+I12+I14+I24+I26+I32+I40</f>
        <v>175142940.9242498</v>
      </c>
      <c r="J42" s="144"/>
      <c r="K42" s="771">
        <f>SUM(K12:K41)</f>
        <v>0.99999999999999989</v>
      </c>
      <c r="L42" s="805">
        <f>1-L51</f>
        <v>0.99434015986655722</v>
      </c>
      <c r="M42" s="466">
        <f ca="1">L42*$M$56</f>
        <v>3163042278.437789</v>
      </c>
      <c r="N42" s="133">
        <f>A42</f>
        <v>115</v>
      </c>
      <c r="P42" s="101"/>
    </row>
    <row r="43" spans="1:16">
      <c r="A43" s="133"/>
      <c r="D43" s="395"/>
      <c r="E43" s="381"/>
      <c r="F43" s="397"/>
      <c r="G43" s="381"/>
      <c r="H43" s="404"/>
      <c r="I43" s="381"/>
      <c r="K43" s="770"/>
      <c r="L43" s="769"/>
      <c r="M43" s="757"/>
      <c r="N43" s="133"/>
      <c r="P43" s="101"/>
    </row>
    <row r="44" spans="1:16">
      <c r="A44" s="133"/>
      <c r="D44" s="395"/>
      <c r="E44" s="381"/>
      <c r="F44" s="397"/>
      <c r="G44" s="381"/>
      <c r="H44" s="404"/>
      <c r="I44" s="381"/>
      <c r="K44" s="770"/>
      <c r="L44" s="769"/>
      <c r="M44" s="757"/>
      <c r="N44" s="133"/>
      <c r="P44" s="101"/>
    </row>
    <row r="45" spans="1:16">
      <c r="A45" s="133">
        <f>A42+1</f>
        <v>116</v>
      </c>
      <c r="B45" s="17" t="s">
        <v>2012</v>
      </c>
      <c r="C45" s="17" t="s">
        <v>1998</v>
      </c>
      <c r="D45" s="394">
        <v>453160713</v>
      </c>
      <c r="E45" s="742">
        <v>452505129</v>
      </c>
      <c r="F45" s="396">
        <v>524176</v>
      </c>
      <c r="G45" s="381">
        <f>(E45/D45)*F45</f>
        <v>523417.67874900484</v>
      </c>
      <c r="H45" s="404">
        <f>$H$18</f>
        <v>1.0435094</v>
      </c>
      <c r="I45" s="767">
        <f>H45*G45</f>
        <v>546191.2679007668</v>
      </c>
      <c r="K45" s="772"/>
      <c r="L45" s="773"/>
      <c r="M45" s="757"/>
      <c r="N45" s="133">
        <f>A45</f>
        <v>116</v>
      </c>
      <c r="P45" s="101"/>
    </row>
    <row r="46" spans="1:16">
      <c r="A46" s="133"/>
      <c r="D46" s="395"/>
      <c r="E46" s="381"/>
      <c r="F46" s="395"/>
      <c r="G46" s="381"/>
      <c r="H46" s="404"/>
      <c r="I46" s="381"/>
      <c r="K46" s="772"/>
      <c r="L46" s="773"/>
      <c r="M46" s="757"/>
      <c r="N46" s="133"/>
      <c r="P46" s="101"/>
    </row>
    <row r="47" spans="1:16">
      <c r="A47" s="133">
        <f>A45+1</f>
        <v>117</v>
      </c>
      <c r="B47" s="17" t="s">
        <v>2012</v>
      </c>
      <c r="C47" s="17" t="s">
        <v>1999</v>
      </c>
      <c r="D47" s="394">
        <v>20590793</v>
      </c>
      <c r="E47" s="742">
        <v>13523930</v>
      </c>
      <c r="F47" s="396">
        <v>27403</v>
      </c>
      <c r="G47" s="381">
        <f>(E47/D47)*F47</f>
        <v>17998.153533474888</v>
      </c>
      <c r="H47" s="404">
        <f>$H$20</f>
        <v>1.074143946010695</v>
      </c>
      <c r="I47" s="767">
        <f>H47*G47</f>
        <v>19332.607657353048</v>
      </c>
      <c r="K47" s="772"/>
      <c r="L47" s="773"/>
      <c r="M47" s="757"/>
      <c r="N47" s="133">
        <f>A47</f>
        <v>117</v>
      </c>
      <c r="P47" s="101"/>
    </row>
    <row r="48" spans="1:16">
      <c r="A48" s="133"/>
      <c r="D48" s="395"/>
      <c r="E48" s="381"/>
      <c r="F48" s="395"/>
      <c r="G48" s="381"/>
      <c r="H48" s="404"/>
      <c r="I48" s="381"/>
      <c r="K48" s="772"/>
      <c r="L48" s="773"/>
      <c r="M48" s="757"/>
      <c r="N48" s="133"/>
      <c r="P48" s="101"/>
    </row>
    <row r="49" spans="1:16">
      <c r="A49" s="133">
        <f>A47+1</f>
        <v>118</v>
      </c>
      <c r="B49" s="17" t="s">
        <v>2012</v>
      </c>
      <c r="C49" s="17" t="s">
        <v>2000</v>
      </c>
      <c r="D49" s="394">
        <v>2168734</v>
      </c>
      <c r="E49" s="742">
        <v>10740854</v>
      </c>
      <c r="F49" s="394">
        <v>2731</v>
      </c>
      <c r="G49" s="381">
        <f>(E49/D49)*F49</f>
        <v>13525.527922742023</v>
      </c>
      <c r="H49" s="404">
        <f>$H$12</f>
        <v>1.1384794179171955</v>
      </c>
      <c r="I49" s="767">
        <f>H49*G49</f>
        <v>15398.535156506114</v>
      </c>
      <c r="K49" s="772"/>
      <c r="L49" s="773"/>
      <c r="M49" s="757"/>
      <c r="N49" s="133">
        <f>A49</f>
        <v>118</v>
      </c>
      <c r="P49" s="101"/>
    </row>
    <row r="50" spans="1:16">
      <c r="A50" s="133"/>
      <c r="E50" s="381"/>
      <c r="F50" s="381"/>
      <c r="G50" s="381"/>
      <c r="H50" s="404"/>
      <c r="I50" s="381"/>
      <c r="K50" s="772"/>
      <c r="L50" s="773"/>
      <c r="M50" s="757"/>
      <c r="N50" s="133"/>
      <c r="P50" s="101"/>
    </row>
    <row r="51" spans="1:16">
      <c r="A51" s="133">
        <f>A49+1</f>
        <v>119</v>
      </c>
      <c r="B51" s="17" t="s">
        <v>2047</v>
      </c>
      <c r="D51" s="381">
        <f>SUM(D45:D49)</f>
        <v>475920240</v>
      </c>
      <c r="E51" s="381">
        <f>SUM(E45:E49)</f>
        <v>476769913</v>
      </c>
      <c r="F51" s="381">
        <f>SUM(F45:F49)</f>
        <v>554310</v>
      </c>
      <c r="G51" s="381">
        <f>SUM(G45:G49)</f>
        <v>554941.3602052218</v>
      </c>
      <c r="H51" s="381"/>
      <c r="I51" s="381">
        <f>SUM(I45:I49)</f>
        <v>580922.41071462596</v>
      </c>
      <c r="K51" s="774"/>
      <c r="L51" s="775">
        <v>5.6598401334428021E-3</v>
      </c>
      <c r="M51" s="466">
        <f ca="1">L51*$M$56</f>
        <v>18004214.607686259</v>
      </c>
      <c r="N51" s="133">
        <f>A51</f>
        <v>119</v>
      </c>
      <c r="P51" s="101"/>
    </row>
    <row r="52" spans="1:16">
      <c r="A52" s="133"/>
      <c r="B52" s="403"/>
      <c r="E52" s="381"/>
      <c r="F52" s="381"/>
      <c r="G52" s="381"/>
      <c r="I52" s="381"/>
      <c r="K52" s="770"/>
      <c r="L52" s="776"/>
      <c r="M52" s="757"/>
      <c r="N52" s="133"/>
      <c r="P52" s="101"/>
    </row>
    <row r="53" spans="1:16" ht="15" thickBot="1">
      <c r="A53" s="133"/>
      <c r="K53" s="772"/>
      <c r="L53" s="777"/>
      <c r="M53" s="133"/>
      <c r="N53" s="133"/>
    </row>
    <row r="54" spans="1:16" ht="15" thickBot="1">
      <c r="A54" s="133">
        <f>A51+1</f>
        <v>120</v>
      </c>
      <c r="B54" s="393" t="s">
        <v>2048</v>
      </c>
      <c r="C54" s="778"/>
      <c r="D54" s="779">
        <f>+D12+D14+D24+D26+D32+D40+D51</f>
        <v>79298850946</v>
      </c>
      <c r="E54" s="779">
        <f>+E12+E14+E24+E26+E32+E40+E51</f>
        <v>79644944528</v>
      </c>
      <c r="F54" s="779">
        <f>+F12+F14+F24+F26+F32+F40+F51</f>
        <v>155538295</v>
      </c>
      <c r="G54" s="779">
        <f>+G51++G42</f>
        <v>155744743.55256143</v>
      </c>
      <c r="H54" s="778"/>
      <c r="I54" s="779">
        <f>I42+I51</f>
        <v>175723863.33496442</v>
      </c>
      <c r="J54" s="778"/>
      <c r="K54" s="570"/>
      <c r="L54" s="586">
        <f>L42+L51</f>
        <v>1</v>
      </c>
      <c r="M54" s="780">
        <f ca="1">M42+M51</f>
        <v>3181046493.045475</v>
      </c>
      <c r="N54" s="133">
        <f>A54</f>
        <v>120</v>
      </c>
    </row>
    <row r="55" spans="1:16" ht="15" thickBot="1">
      <c r="A55" s="133"/>
      <c r="D55" s="17"/>
      <c r="N55" s="133"/>
    </row>
    <row r="56" spans="1:16" ht="15" thickBot="1">
      <c r="A56" s="133">
        <f>A54+1</f>
        <v>121</v>
      </c>
      <c r="B56" s="878" t="s">
        <v>2049</v>
      </c>
      <c r="C56" s="879"/>
      <c r="D56" s="879"/>
      <c r="E56" s="879"/>
      <c r="F56" s="879"/>
      <c r="G56" s="879"/>
      <c r="H56" s="879"/>
      <c r="I56" s="879"/>
      <c r="J56" s="879"/>
      <c r="K56" s="879"/>
      <c r="L56" s="879"/>
      <c r="M56" s="780">
        <f ca="1">'1-BaseTRR'!E160</f>
        <v>3181046493.045475</v>
      </c>
      <c r="N56" s="133">
        <f>A56</f>
        <v>121</v>
      </c>
    </row>
    <row r="57" spans="1:16">
      <c r="M57" s="392"/>
    </row>
    <row r="58" spans="1:16">
      <c r="B58" s="208" t="s">
        <v>306</v>
      </c>
      <c r="D58" s="17"/>
      <c r="E58" s="383"/>
      <c r="F58" s="219"/>
      <c r="K58" s="17"/>
      <c r="L58" s="17"/>
      <c r="M58" s="17"/>
      <c r="N58" s="381"/>
      <c r="O58" s="17"/>
    </row>
    <row r="59" spans="1:16">
      <c r="B59" s="841" t="s">
        <v>2050</v>
      </c>
      <c r="C59" s="841"/>
      <c r="D59" s="841"/>
      <c r="E59" s="841"/>
      <c r="F59" s="841"/>
      <c r="G59" s="841"/>
      <c r="H59" s="841"/>
      <c r="I59" s="841"/>
      <c r="J59" s="841"/>
      <c r="K59" s="841"/>
      <c r="L59" s="841"/>
      <c r="M59" s="841"/>
      <c r="N59" s="841"/>
      <c r="O59" s="841"/>
    </row>
    <row r="60" spans="1:16">
      <c r="B60" s="17" t="s">
        <v>2051</v>
      </c>
      <c r="D60" s="17"/>
      <c r="K60" s="17"/>
      <c r="L60" s="17"/>
      <c r="M60" s="17"/>
      <c r="O60" s="17"/>
    </row>
    <row r="61" spans="1:16">
      <c r="B61" s="841" t="s">
        <v>2052</v>
      </c>
      <c r="C61" s="841"/>
      <c r="D61" s="841"/>
      <c r="E61" s="841"/>
      <c r="F61" s="841"/>
      <c r="G61" s="841"/>
      <c r="H61" s="841"/>
      <c r="I61" s="841"/>
      <c r="J61" s="841"/>
      <c r="K61" s="841"/>
      <c r="L61" s="841"/>
      <c r="M61" s="841"/>
      <c r="N61" s="841"/>
      <c r="O61" s="841"/>
    </row>
    <row r="62" spans="1:16">
      <c r="B62" s="840" t="s">
        <v>2053</v>
      </c>
      <c r="C62" s="840"/>
      <c r="D62" s="840"/>
      <c r="E62" s="840"/>
      <c r="F62" s="840"/>
      <c r="G62" s="840"/>
      <c r="H62" s="840"/>
      <c r="I62" s="840"/>
      <c r="J62" s="840"/>
      <c r="K62" s="840"/>
      <c r="L62" s="840"/>
      <c r="M62" s="840"/>
      <c r="N62" s="840"/>
      <c r="O62" s="840"/>
    </row>
    <row r="63" spans="1:16" ht="33" customHeight="1">
      <c r="B63" s="840" t="s">
        <v>2054</v>
      </c>
      <c r="C63" s="840"/>
      <c r="D63" s="840"/>
      <c r="E63" s="840"/>
      <c r="F63" s="840"/>
      <c r="G63" s="840"/>
      <c r="H63" s="840"/>
      <c r="I63" s="840"/>
      <c r="J63" s="840"/>
      <c r="K63" s="840"/>
      <c r="L63" s="840"/>
      <c r="M63" s="840"/>
      <c r="N63" s="3"/>
      <c r="O63" s="3"/>
    </row>
    <row r="64" spans="1:16" ht="51.75" customHeight="1">
      <c r="B64" s="840"/>
      <c r="C64" s="840"/>
      <c r="D64" s="840"/>
      <c r="E64" s="840"/>
      <c r="F64" s="840"/>
      <c r="G64" s="840"/>
      <c r="H64" s="840"/>
      <c r="I64" s="840"/>
      <c r="J64" s="840"/>
      <c r="K64" s="840"/>
      <c r="L64" s="840"/>
      <c r="M64" s="840"/>
    </row>
    <row r="65" spans="4:6">
      <c r="E65" s="391"/>
      <c r="F65" s="391"/>
    </row>
    <row r="66" spans="4:6">
      <c r="F66" s="391"/>
    </row>
    <row r="67" spans="4:6">
      <c r="D67" s="390"/>
      <c r="F67" s="381"/>
    </row>
    <row r="68" spans="4:6">
      <c r="F68" s="381"/>
    </row>
    <row r="69" spans="4:6">
      <c r="F69" s="381"/>
    </row>
    <row r="70" spans="4:6">
      <c r="F70" s="381"/>
    </row>
    <row r="71" spans="4:6">
      <c r="F71" s="381"/>
    </row>
    <row r="72" spans="4:6">
      <c r="F72" s="391"/>
    </row>
    <row r="73" spans="4:6">
      <c r="F73" s="391"/>
    </row>
    <row r="74" spans="4:6">
      <c r="D74" s="390"/>
      <c r="F74" s="391"/>
    </row>
    <row r="75" spans="4:6">
      <c r="E75" s="381"/>
      <c r="F75" s="381"/>
    </row>
    <row r="76" spans="4:6">
      <c r="F76" s="391"/>
    </row>
    <row r="77" spans="4:6">
      <c r="F77" s="391"/>
    </row>
    <row r="78" spans="4:6">
      <c r="F78" s="391"/>
    </row>
    <row r="79" spans="4:6">
      <c r="F79" s="391"/>
    </row>
    <row r="81" spans="4:4">
      <c r="D81" s="390"/>
    </row>
    <row r="144" spans="11:11">
      <c r="K144" s="386" t="e">
        <f>E30/E144*E151</f>
        <v>#DIV/0!</v>
      </c>
    </row>
    <row r="160" spans="10:10">
      <c r="J160" s="381">
        <f>E160-D160</f>
        <v>0</v>
      </c>
    </row>
  </sheetData>
  <mergeCells count="6">
    <mergeCell ref="B64:M64"/>
    <mergeCell ref="B56:L56"/>
    <mergeCell ref="B59:O59"/>
    <mergeCell ref="B61:O61"/>
    <mergeCell ref="B62:O62"/>
    <mergeCell ref="B63:M63"/>
  </mergeCells>
  <printOptions horizontalCentered="1"/>
  <pageMargins left="1" right="1" top="1" bottom="1" header="0.5" footer="0.5"/>
  <pageSetup scale="50"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G38"/>
  <sheetViews>
    <sheetView tabSelected="1" view="pageBreakPreview" topLeftCell="A10" zoomScaleSheetLayoutView="100" zoomScalePageLayoutView="70" workbookViewId="0">
      <selection activeCell="E174" sqref="E174"/>
    </sheetView>
  </sheetViews>
  <sheetFormatPr defaultColWidth="9.1796875" defaultRowHeight="14.5"/>
  <cols>
    <col min="1" max="1" width="4.54296875" bestFit="1" customWidth="1"/>
    <col min="2" max="2" width="45.453125" bestFit="1" customWidth="1"/>
    <col min="3" max="3" width="12.81640625" bestFit="1" customWidth="1"/>
    <col min="4" max="4" width="15.54296875" bestFit="1" customWidth="1"/>
    <col min="5" max="5" width="62.1796875" bestFit="1" customWidth="1"/>
    <col min="6" max="6" width="27" customWidth="1"/>
    <col min="7" max="7" width="4.54296875" bestFit="1" customWidth="1"/>
    <col min="10" max="10" width="13.453125" customWidth="1"/>
    <col min="11" max="11" width="25.1796875" customWidth="1"/>
  </cols>
  <sheetData>
    <row r="1" spans="1:7">
      <c r="B1" s="12" t="s">
        <v>10</v>
      </c>
      <c r="F1" s="15" t="str">
        <f>CONCATENATE("Rate Year: ",'1-BaseTRR'!$G$1)</f>
        <v>Rate Year: 2023</v>
      </c>
    </row>
    <row r="2" spans="1:7">
      <c r="F2" s="15" t="str">
        <f>CONCATENATE("Prior Year: ",'1-BaseTRR'!$G$2)</f>
        <v>Prior Year: 2021</v>
      </c>
    </row>
    <row r="3" spans="1:7">
      <c r="B3" s="14"/>
      <c r="G3" s="13"/>
    </row>
    <row r="4" spans="1:7">
      <c r="B4" s="58" t="s">
        <v>311</v>
      </c>
      <c r="C4" s="58"/>
      <c r="D4" s="55"/>
      <c r="E4" s="55"/>
      <c r="F4" s="55"/>
    </row>
    <row r="5" spans="1:7">
      <c r="A5" s="13" t="s">
        <v>100</v>
      </c>
      <c r="B5" s="13" t="s">
        <v>6</v>
      </c>
      <c r="D5" s="13" t="s">
        <v>134</v>
      </c>
      <c r="E5" s="13" t="s">
        <v>135</v>
      </c>
      <c r="F5" s="13" t="s">
        <v>136</v>
      </c>
      <c r="G5" s="13" t="str">
        <f>A5</f>
        <v>Line</v>
      </c>
    </row>
    <row r="6" spans="1:7">
      <c r="A6" s="8">
        <v>100</v>
      </c>
      <c r="B6" t="s">
        <v>312</v>
      </c>
      <c r="C6" s="12"/>
      <c r="G6" s="8">
        <f>A6</f>
        <v>100</v>
      </c>
    </row>
    <row r="7" spans="1:7">
      <c r="A7" s="8"/>
      <c r="G7" s="8"/>
    </row>
    <row r="8" spans="1:7">
      <c r="A8" s="8"/>
      <c r="B8" s="16" t="s">
        <v>313</v>
      </c>
      <c r="C8" s="16"/>
      <c r="G8" s="8"/>
    </row>
    <row r="9" spans="1:7">
      <c r="A9" s="8">
        <f>A6+1</f>
        <v>101</v>
      </c>
      <c r="B9" t="s">
        <v>314</v>
      </c>
      <c r="D9" s="32">
        <f>'7-PlantInService'!P24</f>
        <v>14839705596</v>
      </c>
      <c r="E9" t="s">
        <v>139</v>
      </c>
      <c r="G9" s="8">
        <f t="shared" ref="G9:G34" si="0">A9</f>
        <v>101</v>
      </c>
    </row>
    <row r="10" spans="1:7">
      <c r="A10" s="8">
        <f>A9+1</f>
        <v>102</v>
      </c>
      <c r="B10" t="s">
        <v>315</v>
      </c>
      <c r="D10" s="26">
        <f>'10-AccDep'!P26</f>
        <v>3464493186</v>
      </c>
      <c r="E10" t="s">
        <v>155</v>
      </c>
      <c r="G10" s="8">
        <f t="shared" si="0"/>
        <v>102</v>
      </c>
    </row>
    <row r="11" spans="1:7">
      <c r="A11" s="8">
        <f>A10+1</f>
        <v>103</v>
      </c>
      <c r="B11" s="12" t="s">
        <v>316</v>
      </c>
      <c r="D11" s="69">
        <f>D9-D10</f>
        <v>11375212410</v>
      </c>
      <c r="E11" t="str">
        <f>"Line "&amp;A9&amp;" - Line "&amp;A10&amp;""</f>
        <v>Line 101 - Line 102</v>
      </c>
      <c r="G11" s="8">
        <f t="shared" si="0"/>
        <v>103</v>
      </c>
    </row>
    <row r="12" spans="1:7">
      <c r="A12" s="8"/>
      <c r="G12" s="8"/>
    </row>
    <row r="13" spans="1:7">
      <c r="A13" s="8"/>
      <c r="B13" s="16" t="s">
        <v>317</v>
      </c>
      <c r="C13" s="16"/>
      <c r="G13" s="8"/>
    </row>
    <row r="14" spans="1:7">
      <c r="A14" s="8">
        <f>A11+1</f>
        <v>104</v>
      </c>
      <c r="B14" t="s">
        <v>318</v>
      </c>
      <c r="D14" s="32">
        <f ca="1">'1-BaseTRR'!E137-(('1-BaseTRR'!E125+'1-BaseTRR'!E126)*0.75)</f>
        <v>1771203378.4020164</v>
      </c>
      <c r="E14" t="str">
        <f>CONCATENATE("1-BaseTRR, L. ",'1-BaseTRR'!A137," - [75%*(1-BaseTRR, L. 500 + L. 501 )]")</f>
        <v>1-BaseTRR, L. 512 - [75%*(1-BaseTRR, L. 500 + L. 501 )]</v>
      </c>
      <c r="G14" s="8">
        <f t="shared" si="0"/>
        <v>104</v>
      </c>
    </row>
    <row r="15" spans="1:7">
      <c r="A15" s="8">
        <f>+A14+1</f>
        <v>105</v>
      </c>
      <c r="B15" t="s">
        <v>319</v>
      </c>
      <c r="C15" s="519"/>
      <c r="D15" s="32">
        <f>-+'1-BaseTRR'!E128+-'1-BaseTRR'!E129+'11-Depreciation'!C61</f>
        <v>-406087727.93186581</v>
      </c>
      <c r="E15" t="str">
        <f>CONCATENATE("1-BaseTRR, L. ",'1-BaseTRR'!A128," + L. ",'1-BaseTRR'!A129," - ","11-Depreciation, L. ",'11-Depreciation'!A61,", col 1 ")</f>
        <v xml:space="preserve">1-BaseTRR, L. 503 + L. 504 - 11-Depreciation, L. 500, col 1 </v>
      </c>
      <c r="F15" s="338"/>
      <c r="G15" s="8">
        <f t="shared" si="0"/>
        <v>105</v>
      </c>
    </row>
    <row r="16" spans="1:7" ht="30.75" customHeight="1">
      <c r="A16" s="8">
        <f t="shared" ref="A16:A17" si="1">+A15+1</f>
        <v>106</v>
      </c>
      <c r="B16" t="s">
        <v>320</v>
      </c>
      <c r="D16" s="578">
        <f>-('1-BaseTRR'!E25*'1-BaseTRR'!E68)*(1+'1-BaseTRR'!E99/(1-'1-BaseTRR'!E99))-('1-BaseTRR'!E25*'1-BaseTRR'!E63)</f>
        <v>184226635.42228216</v>
      </c>
      <c r="E16" s="45" t="s">
        <v>321</v>
      </c>
      <c r="F16" s="45"/>
      <c r="G16" s="8">
        <f t="shared" si="0"/>
        <v>106</v>
      </c>
    </row>
    <row r="17" spans="1:7">
      <c r="A17" s="8">
        <f t="shared" si="1"/>
        <v>107</v>
      </c>
      <c r="B17" s="12" t="s">
        <v>322</v>
      </c>
      <c r="D17" s="69">
        <f ca="1">SUM(D14:D16)</f>
        <v>1549342285.8924327</v>
      </c>
      <c r="E17" s="17" t="str">
        <f>"Line "&amp;A14&amp;" + Line "&amp;A15&amp;" + Line "&amp;A16&amp;""</f>
        <v>Line 104 + Line 105 + Line 106</v>
      </c>
      <c r="G17" s="8">
        <f t="shared" si="0"/>
        <v>107</v>
      </c>
    </row>
    <row r="18" spans="1:7">
      <c r="A18" s="8">
        <f>+A17+1</f>
        <v>108</v>
      </c>
      <c r="B18" t="s">
        <v>323</v>
      </c>
      <c r="D18" s="28">
        <f ca="1">D17/D11</f>
        <v>0.1362033718623486</v>
      </c>
      <c r="E18" t="str">
        <f>"Line "&amp;A17&amp;" / Line "&amp;A11&amp;""</f>
        <v>Line 107 / Line 103</v>
      </c>
      <c r="G18" s="8">
        <f t="shared" si="0"/>
        <v>108</v>
      </c>
    </row>
    <row r="19" spans="1:7">
      <c r="A19" s="8"/>
      <c r="G19" s="8"/>
    </row>
    <row r="20" spans="1:7">
      <c r="B20" s="58" t="s">
        <v>324</v>
      </c>
      <c r="C20" s="58"/>
      <c r="D20" s="55"/>
      <c r="E20" s="55"/>
      <c r="F20" s="55"/>
    </row>
    <row r="21" spans="1:7">
      <c r="A21" s="13" t="s">
        <v>100</v>
      </c>
      <c r="B21" s="13" t="s">
        <v>6</v>
      </c>
      <c r="D21" s="13" t="s">
        <v>134</v>
      </c>
      <c r="E21" s="13" t="s">
        <v>135</v>
      </c>
      <c r="F21" s="13" t="s">
        <v>136</v>
      </c>
      <c r="G21" s="13" t="str">
        <f>A21</f>
        <v>Line</v>
      </c>
    </row>
    <row r="22" spans="1:7">
      <c r="A22" s="8">
        <v>200</v>
      </c>
      <c r="B22" t="s">
        <v>325</v>
      </c>
      <c r="D22" s="32">
        <f>'9-PlantAdditions'!I39</f>
        <v>1821895836.9891291</v>
      </c>
      <c r="E22" t="s">
        <v>326</v>
      </c>
      <c r="G22" s="8">
        <f t="shared" si="0"/>
        <v>200</v>
      </c>
    </row>
    <row r="23" spans="1:7">
      <c r="A23" s="8">
        <f t="shared" ref="A23" si="2">A22+1</f>
        <v>201</v>
      </c>
      <c r="B23" t="s">
        <v>323</v>
      </c>
      <c r="D23" s="28">
        <f ca="1">D18</f>
        <v>0.1362033718623486</v>
      </c>
      <c r="E23" t="str">
        <f>"Line "&amp;A18&amp;""</f>
        <v>Line 108</v>
      </c>
      <c r="G23" s="8">
        <f t="shared" si="0"/>
        <v>201</v>
      </c>
    </row>
    <row r="24" spans="1:7">
      <c r="A24" s="8"/>
      <c r="D24" s="28"/>
      <c r="G24" s="8"/>
    </row>
    <row r="25" spans="1:7">
      <c r="A25" s="8">
        <f>+A23+1</f>
        <v>202</v>
      </c>
      <c r="B25" t="s">
        <v>327</v>
      </c>
      <c r="D25" s="32">
        <f ca="1">D22*D23</f>
        <v>248148356.17989519</v>
      </c>
      <c r="E25" t="str">
        <f>"Line "&amp;A22&amp;" * Line "&amp;A23&amp;""</f>
        <v>Line 200 * Line 201</v>
      </c>
      <c r="G25" s="8">
        <f t="shared" si="0"/>
        <v>202</v>
      </c>
    </row>
    <row r="26" spans="1:7">
      <c r="A26" s="8">
        <f t="shared" ref="A26:A27" si="3">+A25+1</f>
        <v>203</v>
      </c>
      <c r="B26" t="s">
        <v>328</v>
      </c>
      <c r="C26" s="519"/>
      <c r="D26" s="32">
        <f>'9-PlantAdditions'!F40</f>
        <v>51787437.452360928</v>
      </c>
      <c r="E26" t="str">
        <f>CONCATENATE("9-PlantAdditions, L. ",'9-PlantAdditions'!A40,", ",'9-PlantAdditions'!F10)</f>
        <v>9-PlantAdditions, L. 125, Col 3</v>
      </c>
      <c r="G26" s="8">
        <f t="shared" si="0"/>
        <v>203</v>
      </c>
    </row>
    <row r="27" spans="1:7">
      <c r="A27" s="8">
        <f t="shared" si="3"/>
        <v>204</v>
      </c>
      <c r="B27" t="s">
        <v>329</v>
      </c>
      <c r="D27" s="26">
        <f>+'14-ADIT'!M164</f>
        <v>637451.54938542505</v>
      </c>
      <c r="E27" t="str">
        <f>CONCATENATE("14-ADIT, L. ",'14-ADIT'!A164,", Col 11 ")</f>
        <v xml:space="preserve">14-ADIT, L. 728, Col 11 </v>
      </c>
      <c r="G27" s="8">
        <f t="shared" si="0"/>
        <v>204</v>
      </c>
    </row>
    <row r="28" spans="1:7">
      <c r="A28" s="8">
        <f>+A27+1</f>
        <v>205</v>
      </c>
      <c r="B28" s="12" t="s">
        <v>330</v>
      </c>
      <c r="D28" s="69">
        <f ca="1">SUM(D25:D27)</f>
        <v>300573245.18164158</v>
      </c>
      <c r="E28" t="str">
        <f>"Sum Line "&amp;A25&amp;" to Line "&amp;A27&amp;""</f>
        <v>Sum Line 202 to Line 204</v>
      </c>
      <c r="G28" s="8">
        <f t="shared" si="0"/>
        <v>205</v>
      </c>
    </row>
    <row r="29" spans="1:7">
      <c r="A29" s="8"/>
      <c r="D29" s="21"/>
      <c r="G29" s="8"/>
    </row>
    <row r="30" spans="1:7">
      <c r="A30" s="8">
        <f>A28+1</f>
        <v>206</v>
      </c>
      <c r="B30" t="s">
        <v>290</v>
      </c>
      <c r="D30" s="19">
        <f>'1-BaseTRR'!E140</f>
        <v>7.5170000000000011E-3</v>
      </c>
      <c r="E30" t="str">
        <f>CONCATENATE("1-BaseTRR, L. ",'1-BaseTRR'!A140)</f>
        <v>1-BaseTRR, L. 513</v>
      </c>
      <c r="G30" s="8">
        <f t="shared" si="0"/>
        <v>206</v>
      </c>
    </row>
    <row r="31" spans="1:7">
      <c r="A31" s="8">
        <f t="shared" ref="A31:A32" si="4">A30+1</f>
        <v>207</v>
      </c>
      <c r="B31" t="s">
        <v>292</v>
      </c>
      <c r="D31" s="42">
        <f>'1-BaseTRR'!E141</f>
        <v>2.7300000000000002E-4</v>
      </c>
      <c r="E31" t="str">
        <f>CONCATENATE("1-BaseTRR, L. ",'1-BaseTRR'!A141)</f>
        <v>1-BaseTRR, L. 514</v>
      </c>
      <c r="G31" s="8">
        <f t="shared" si="0"/>
        <v>207</v>
      </c>
    </row>
    <row r="32" spans="1:7">
      <c r="A32" s="8">
        <f t="shared" si="4"/>
        <v>208</v>
      </c>
      <c r="B32" s="12" t="s">
        <v>294</v>
      </c>
      <c r="D32" s="69">
        <f ca="1">(D30+D31)*D28</f>
        <v>2341465.5799649884</v>
      </c>
      <c r="E32" s="17" t="str">
        <f>"Line "&amp;A28&amp;" * (Line "&amp;A31&amp;" + Line "&amp;A30&amp;")"</f>
        <v>Line 205 * (Line 207 + Line 206)</v>
      </c>
      <c r="G32" s="8">
        <f t="shared" si="0"/>
        <v>208</v>
      </c>
    </row>
    <row r="33" spans="1:7">
      <c r="A33" s="8"/>
      <c r="D33" s="32"/>
      <c r="E33" s="17"/>
      <c r="G33" s="8"/>
    </row>
    <row r="34" spans="1:7">
      <c r="A34" s="8">
        <f>A32+1</f>
        <v>209</v>
      </c>
      <c r="B34" s="12" t="s">
        <v>331</v>
      </c>
      <c r="C34" s="33"/>
      <c r="D34" s="69">
        <f ca="1">D32+D28</f>
        <v>302914710.76160657</v>
      </c>
      <c r="E34" t="str">
        <f>"Line "&amp;A28&amp;" + Line "&amp;A32&amp;""</f>
        <v>Line 205 + Line 208</v>
      </c>
      <c r="G34" s="8">
        <f t="shared" si="0"/>
        <v>209</v>
      </c>
    </row>
    <row r="36" spans="1:7">
      <c r="B36" s="16"/>
    </row>
    <row r="38" spans="1:7">
      <c r="D38" s="17"/>
    </row>
  </sheetData>
  <printOptions horizontalCentered="1"/>
  <pageMargins left="1" right="1" top="1" bottom="1" header="0.5" footer="0.5"/>
  <pageSetup scale="67"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92D050"/>
    <pageSetUpPr fitToPage="1"/>
  </sheetPr>
  <dimension ref="A1:Q160"/>
  <sheetViews>
    <sheetView tabSelected="1" view="pageBreakPreview" topLeftCell="F81" zoomScaleNormal="85" zoomScaleSheetLayoutView="100" zoomScalePageLayoutView="70" workbookViewId="0">
      <selection activeCell="E174" sqref="E174"/>
    </sheetView>
  </sheetViews>
  <sheetFormatPr defaultColWidth="9.1796875" defaultRowHeight="14.5"/>
  <cols>
    <col min="1" max="1" width="4.54296875" style="8" bestFit="1" customWidth="1"/>
    <col min="2" max="2" width="2.1796875" style="8" bestFit="1" customWidth="1"/>
    <col min="3" max="3" width="73.453125" bestFit="1" customWidth="1"/>
    <col min="4" max="4" width="4.54296875" customWidth="1"/>
    <col min="5" max="5" width="20.1796875" bestFit="1" customWidth="1"/>
    <col min="6" max="6" width="42.1796875" bestFit="1" customWidth="1"/>
    <col min="7" max="7" width="20.1796875" customWidth="1"/>
    <col min="8" max="8" width="4.54296875" bestFit="1" customWidth="1"/>
    <col min="9" max="9" width="2.1796875" customWidth="1"/>
    <col min="10" max="10" width="13.453125" customWidth="1"/>
    <col min="11" max="11" width="25.1796875" customWidth="1"/>
    <col min="12" max="12" width="12.7265625" customWidth="1"/>
    <col min="13" max="13" width="13.453125" bestFit="1" customWidth="1"/>
    <col min="14" max="14" width="10" customWidth="1"/>
    <col min="15" max="15" width="12.7265625" bestFit="1" customWidth="1"/>
    <col min="16" max="16" width="9.1796875" customWidth="1"/>
    <col min="17" max="17" width="14.54296875" bestFit="1" customWidth="1"/>
  </cols>
  <sheetData>
    <row r="1" spans="1:16">
      <c r="C1" s="14" t="s">
        <v>12</v>
      </c>
      <c r="F1" s="15"/>
      <c r="G1" s="15" t="str">
        <f>CONCATENATE("Prior Year: ",'1-BaseTRR'!$G$2)</f>
        <v>Prior Year: 2021</v>
      </c>
    </row>
    <row r="2" spans="1:16">
      <c r="C2" s="47" t="s">
        <v>131</v>
      </c>
      <c r="F2" s="15"/>
    </row>
    <row r="3" spans="1:16">
      <c r="A3" s="14"/>
      <c r="B3" s="14"/>
      <c r="C3" s="12"/>
      <c r="I3" s="15"/>
      <c r="J3" s="12"/>
    </row>
    <row r="4" spans="1:16">
      <c r="C4" s="53" t="s">
        <v>133</v>
      </c>
      <c r="D4" s="54"/>
      <c r="E4" s="55"/>
      <c r="F4" s="55"/>
      <c r="G4" s="55"/>
      <c r="K4" s="838" t="s">
        <v>2138</v>
      </c>
      <c r="L4" s="823" t="s">
        <v>2132</v>
      </c>
      <c r="M4" s="823"/>
      <c r="N4" s="823"/>
      <c r="O4" s="823"/>
    </row>
    <row r="5" spans="1:16">
      <c r="A5" s="13" t="s">
        <v>100</v>
      </c>
      <c r="B5" s="13"/>
      <c r="C5" s="13" t="s">
        <v>6</v>
      </c>
      <c r="E5" s="13" t="s">
        <v>134</v>
      </c>
      <c r="F5" s="13" t="s">
        <v>135</v>
      </c>
      <c r="G5" s="13" t="s">
        <v>136</v>
      </c>
      <c r="H5" s="13" t="str">
        <f>A5</f>
        <v>Line</v>
      </c>
      <c r="K5" s="838"/>
      <c r="L5" s="838" t="s">
        <v>55</v>
      </c>
      <c r="M5" s="838" t="s">
        <v>2133</v>
      </c>
      <c r="N5" s="838" t="s">
        <v>44</v>
      </c>
      <c r="O5" s="838" t="s">
        <v>2134</v>
      </c>
    </row>
    <row r="6" spans="1:16">
      <c r="A6"/>
      <c r="B6"/>
      <c r="C6" s="11" t="s">
        <v>137</v>
      </c>
      <c r="D6" s="11"/>
      <c r="K6" s="838"/>
      <c r="L6" s="838"/>
      <c r="M6" s="838"/>
      <c r="N6" s="838"/>
      <c r="O6" s="838"/>
    </row>
    <row r="7" spans="1:16">
      <c r="A7" s="8">
        <v>100</v>
      </c>
      <c r="C7" t="s">
        <v>138</v>
      </c>
      <c r="E7" s="22">
        <f>'7-PlantInService'!P25</f>
        <v>14305324872.538462</v>
      </c>
      <c r="F7" t="s">
        <v>332</v>
      </c>
      <c r="G7" t="s">
        <v>333</v>
      </c>
      <c r="H7" s="8">
        <f>A7</f>
        <v>100</v>
      </c>
      <c r="K7" s="33">
        <f>E7-'3-True-upTRR Original'!E7</f>
        <v>0</v>
      </c>
      <c r="L7" s="36"/>
      <c r="M7" s="36"/>
      <c r="N7" s="36"/>
      <c r="O7" s="36"/>
      <c r="P7" s="36"/>
    </row>
    <row r="8" spans="1:16">
      <c r="A8" s="8">
        <f>A7+1</f>
        <v>101</v>
      </c>
      <c r="C8" t="s">
        <v>141</v>
      </c>
      <c r="E8" s="22">
        <f>'7-PlantInService'!D129</f>
        <v>1335633986.7146969</v>
      </c>
      <c r="F8" t="s">
        <v>334</v>
      </c>
      <c r="G8" t="s">
        <v>335</v>
      </c>
      <c r="H8" s="8">
        <f t="shared" ref="H8:H10" si="0">A8</f>
        <v>101</v>
      </c>
      <c r="K8" s="33">
        <f>E8-'3-True-upTRR Original'!E8</f>
        <v>0</v>
      </c>
      <c r="L8" s="36"/>
      <c r="M8" s="36"/>
      <c r="N8" s="36"/>
      <c r="O8" s="36"/>
      <c r="P8" s="36"/>
    </row>
    <row r="9" spans="1:16">
      <c r="A9" s="8">
        <f t="shared" ref="A9:A10" si="1">A8+1</f>
        <v>102</v>
      </c>
      <c r="C9" t="s">
        <v>143</v>
      </c>
      <c r="E9" s="23">
        <f ca="1">+'8-AbandonedPlant'!N14</f>
        <v>0</v>
      </c>
      <c r="F9" t="s">
        <v>336</v>
      </c>
      <c r="G9" t="s">
        <v>335</v>
      </c>
      <c r="H9" s="8">
        <f t="shared" si="0"/>
        <v>102</v>
      </c>
      <c r="K9" s="33">
        <f ca="1">E9-'3-True-upTRR Original'!E9</f>
        <v>0</v>
      </c>
      <c r="L9" s="36"/>
      <c r="M9" s="36"/>
      <c r="N9" s="36"/>
      <c r="O9" s="36"/>
      <c r="P9" s="36"/>
    </row>
    <row r="10" spans="1:16">
      <c r="A10" s="8">
        <f t="shared" si="1"/>
        <v>103</v>
      </c>
      <c r="C10" s="12" t="s">
        <v>145</v>
      </c>
      <c r="D10" s="12"/>
      <c r="E10" s="24">
        <f ca="1">SUM(E7:E9)</f>
        <v>15640958859.253159</v>
      </c>
      <c r="F10" s="6" t="str">
        <f>"Sum of Lines "&amp;A7&amp;" to "&amp;A9&amp;""</f>
        <v>Sum of Lines 100 to 102</v>
      </c>
      <c r="H10" s="8">
        <f t="shared" si="0"/>
        <v>103</v>
      </c>
      <c r="K10" s="33">
        <f ca="1">E10-'3-True-upTRR Original'!E10</f>
        <v>0</v>
      </c>
      <c r="L10" s="36"/>
      <c r="M10" s="36"/>
      <c r="N10" s="36"/>
      <c r="O10" s="36"/>
      <c r="P10" s="36"/>
    </row>
    <row r="11" spans="1:16">
      <c r="E11" s="33"/>
      <c r="L11" s="36"/>
      <c r="M11" s="36"/>
      <c r="N11" s="36"/>
      <c r="O11" s="36"/>
      <c r="P11" s="36"/>
    </row>
    <row r="12" spans="1:16">
      <c r="C12" s="11" t="s">
        <v>146</v>
      </c>
      <c r="D12" s="11"/>
      <c r="E12" s="33"/>
      <c r="L12" s="36"/>
      <c r="M12" s="36"/>
      <c r="N12" s="36"/>
      <c r="O12" s="36"/>
      <c r="P12" s="36"/>
    </row>
    <row r="13" spans="1:16">
      <c r="A13" s="8">
        <f>A10+1</f>
        <v>104</v>
      </c>
      <c r="C13" t="s">
        <v>147</v>
      </c>
      <c r="E13" s="22">
        <f>'13-WorkCap'!E26</f>
        <v>88812496.20718953</v>
      </c>
      <c r="F13" t="s">
        <v>337</v>
      </c>
      <c r="G13" t="s">
        <v>333</v>
      </c>
      <c r="H13" s="8">
        <f t="shared" ref="H13:H16" si="2">A13</f>
        <v>104</v>
      </c>
      <c r="K13" s="33">
        <f>E13-'3-True-upTRR Original'!E13</f>
        <v>0</v>
      </c>
      <c r="L13" s="36"/>
      <c r="M13" s="36"/>
      <c r="N13" s="36"/>
      <c r="O13" s="36"/>
      <c r="P13" s="36"/>
    </row>
    <row r="14" spans="1:16">
      <c r="A14" s="8">
        <f>A13+1</f>
        <v>105</v>
      </c>
      <c r="C14" t="s">
        <v>149</v>
      </c>
      <c r="E14" s="22">
        <f>'13-WorkCap'!F57</f>
        <v>73885932</v>
      </c>
      <c r="F14" t="s">
        <v>338</v>
      </c>
      <c r="G14" t="s">
        <v>333</v>
      </c>
      <c r="H14" s="8">
        <f t="shared" si="2"/>
        <v>105</v>
      </c>
      <c r="K14" s="33">
        <f>E14-'3-True-upTRR Original'!E14</f>
        <v>0</v>
      </c>
      <c r="L14" s="36"/>
      <c r="M14" s="36"/>
      <c r="N14" s="36"/>
      <c r="O14" s="36"/>
      <c r="P14" s="36"/>
    </row>
    <row r="15" spans="1:16">
      <c r="A15" s="8">
        <f t="shared" ref="A15:A16" si="3">A14+1</f>
        <v>106</v>
      </c>
      <c r="C15" t="s">
        <v>151</v>
      </c>
      <c r="E15" s="26">
        <f>(E80+E81)/10</f>
        <v>104441810.55301949</v>
      </c>
      <c r="F15" t="str">
        <f>"(Line "&amp;A80&amp;" + Line "&amp;A81&amp;") / 10"</f>
        <v>(Line 400 + Line 401) / 10</v>
      </c>
      <c r="H15" s="8">
        <f t="shared" si="2"/>
        <v>106</v>
      </c>
      <c r="K15" s="33">
        <f>E15-'3-True-upTRR Original'!E15</f>
        <v>-488681.62933814526</v>
      </c>
      <c r="L15" s="36"/>
      <c r="M15" s="36">
        <f>K15</f>
        <v>-488681.62933814526</v>
      </c>
      <c r="N15" s="36"/>
      <c r="O15" s="36"/>
      <c r="P15" s="36"/>
    </row>
    <row r="16" spans="1:16">
      <c r="A16" s="8">
        <f t="shared" si="3"/>
        <v>107</v>
      </c>
      <c r="C16" s="12" t="s">
        <v>152</v>
      </c>
      <c r="D16" s="12"/>
      <c r="E16" s="24">
        <f>SUM(E13:E15)</f>
        <v>267140238.76020902</v>
      </c>
      <c r="F16" s="6" t="str">
        <f>"Sum of Lines "&amp;A13&amp;" to "&amp;A15&amp;""</f>
        <v>Sum of Lines 104 to 106</v>
      </c>
      <c r="H16" s="8">
        <f t="shared" si="2"/>
        <v>107</v>
      </c>
      <c r="K16" s="33">
        <f>E16-'3-True-upTRR Original'!E16</f>
        <v>-488681.62933814526</v>
      </c>
      <c r="L16" s="36"/>
      <c r="M16" s="36"/>
      <c r="N16" s="36"/>
      <c r="O16" s="36"/>
      <c r="P16" s="36"/>
    </row>
    <row r="17" spans="1:17">
      <c r="E17" s="33"/>
      <c r="L17" s="36"/>
      <c r="M17" s="36"/>
      <c r="N17" s="36"/>
      <c r="O17" s="36"/>
      <c r="P17" s="36"/>
    </row>
    <row r="18" spans="1:17">
      <c r="C18" s="11" t="s">
        <v>153</v>
      </c>
      <c r="D18" s="11"/>
      <c r="E18" s="33"/>
      <c r="L18" s="36"/>
      <c r="M18" s="36"/>
      <c r="N18" s="36"/>
      <c r="O18" s="36"/>
      <c r="P18" s="36"/>
    </row>
    <row r="19" spans="1:17">
      <c r="A19" s="8">
        <f>A16+1</f>
        <v>108</v>
      </c>
      <c r="C19" t="s">
        <v>154</v>
      </c>
      <c r="E19" s="22">
        <f>-'10-AccDep'!P27</f>
        <v>-3364442063.7692308</v>
      </c>
      <c r="F19" t="s">
        <v>339</v>
      </c>
      <c r="G19" t="s">
        <v>340</v>
      </c>
      <c r="H19" s="8">
        <f t="shared" ref="H19:H30" si="4">A19</f>
        <v>108</v>
      </c>
      <c r="K19" s="33">
        <f>E19-'3-True-upTRR Original'!E19</f>
        <v>0</v>
      </c>
      <c r="L19" s="36"/>
      <c r="M19" s="36"/>
      <c r="N19" s="36"/>
      <c r="O19" s="36"/>
      <c r="P19" s="36"/>
    </row>
    <row r="20" spans="1:17">
      <c r="A20" s="8">
        <f>A19+1</f>
        <v>109</v>
      </c>
      <c r="C20" t="s">
        <v>157</v>
      </c>
      <c r="E20" s="23">
        <f>-'10-AccDep'!D129</f>
        <v>-450164942.20070398</v>
      </c>
      <c r="F20" t="s">
        <v>341</v>
      </c>
      <c r="G20" t="s">
        <v>342</v>
      </c>
      <c r="H20" s="8">
        <f t="shared" si="4"/>
        <v>109</v>
      </c>
      <c r="K20" s="33">
        <f>E20-'3-True-upTRR Original'!E20</f>
        <v>0</v>
      </c>
      <c r="L20" s="36"/>
      <c r="M20" s="36"/>
      <c r="N20" s="36"/>
      <c r="O20" s="36"/>
      <c r="P20" s="36"/>
    </row>
    <row r="21" spans="1:17">
      <c r="A21" s="8">
        <f>A20+1</f>
        <v>110</v>
      </c>
      <c r="C21" s="12" t="s">
        <v>159</v>
      </c>
      <c r="D21" s="12"/>
      <c r="E21" s="354">
        <f>E19+E20</f>
        <v>-3814607005.9699349</v>
      </c>
      <c r="F21" t="str">
        <f>"Line "&amp;A19&amp;" + Line "&amp;A20&amp;""</f>
        <v>Line 108 + Line 109</v>
      </c>
      <c r="H21" s="8">
        <f t="shared" si="4"/>
        <v>110</v>
      </c>
      <c r="K21" s="33">
        <f>E21-'3-True-upTRR Original'!E21</f>
        <v>0</v>
      </c>
      <c r="L21" s="36"/>
      <c r="M21" s="36"/>
      <c r="N21" s="36"/>
      <c r="O21" s="36"/>
      <c r="P21" s="36"/>
    </row>
    <row r="22" spans="1:17">
      <c r="E22" s="33"/>
      <c r="L22" s="36"/>
      <c r="M22" s="36"/>
      <c r="N22" s="36"/>
      <c r="O22" s="36"/>
      <c r="P22" s="36"/>
    </row>
    <row r="23" spans="1:17">
      <c r="A23" s="8">
        <f>A21+1</f>
        <v>111</v>
      </c>
      <c r="B23" s="8" t="s">
        <v>160</v>
      </c>
      <c r="C23" s="14" t="s">
        <v>161</v>
      </c>
      <c r="D23" s="14"/>
      <c r="E23" s="32">
        <f>'14-ADIT'!D23</f>
        <v>-1488412230.1796651</v>
      </c>
      <c r="F23" t="s">
        <v>343</v>
      </c>
      <c r="G23" t="s">
        <v>344</v>
      </c>
      <c r="H23" s="8">
        <f t="shared" si="4"/>
        <v>111</v>
      </c>
      <c r="I23" t="s">
        <v>160</v>
      </c>
      <c r="K23" s="33">
        <f>E23-'3-True-upTRR Original'!E23</f>
        <v>0</v>
      </c>
      <c r="L23" s="36"/>
      <c r="M23" s="36"/>
      <c r="N23" s="36"/>
      <c r="O23" s="36"/>
      <c r="P23" s="36"/>
    </row>
    <row r="24" spans="1:17">
      <c r="A24" s="8">
        <v>111</v>
      </c>
      <c r="B24" s="8" t="s">
        <v>163</v>
      </c>
      <c r="C24" s="203" t="s">
        <v>164</v>
      </c>
      <c r="D24" s="14"/>
      <c r="E24" s="32">
        <f>+'17-RegAssets-1'!C48</f>
        <v>-547222220.12686849</v>
      </c>
      <c r="F24" t="s">
        <v>345</v>
      </c>
      <c r="G24" t="s">
        <v>344</v>
      </c>
      <c r="H24" s="8">
        <f t="shared" si="4"/>
        <v>111</v>
      </c>
      <c r="I24" t="s">
        <v>163</v>
      </c>
      <c r="K24" s="33">
        <f>E24-'3-True-upTRR Original'!E24</f>
        <v>0</v>
      </c>
      <c r="L24" s="36"/>
      <c r="M24" s="36"/>
      <c r="N24" s="36"/>
      <c r="O24" s="36"/>
      <c r="P24" s="36"/>
    </row>
    <row r="25" spans="1:17">
      <c r="A25" s="8">
        <v>111</v>
      </c>
      <c r="B25" s="8" t="s">
        <v>166</v>
      </c>
      <c r="C25" s="203" t="s">
        <v>167</v>
      </c>
      <c r="D25" s="14"/>
      <c r="E25" s="32">
        <f>+E23+E24</f>
        <v>-2035634450.3065336</v>
      </c>
      <c r="F25" t="str">
        <f>"Line "&amp;A23&amp;"a + Line "&amp;A24&amp;"b"</f>
        <v>Line 111a + Line 111b</v>
      </c>
      <c r="G25" t="s">
        <v>344</v>
      </c>
      <c r="H25" s="8">
        <f t="shared" si="4"/>
        <v>111</v>
      </c>
      <c r="I25" t="s">
        <v>166</v>
      </c>
      <c r="K25" s="33">
        <f>E25-'3-True-upTRR Original'!E25</f>
        <v>0</v>
      </c>
      <c r="L25" s="36"/>
      <c r="M25" s="36"/>
      <c r="N25" s="36"/>
      <c r="O25" s="36"/>
      <c r="P25" s="36"/>
    </row>
    <row r="26" spans="1:17">
      <c r="A26" s="8">
        <f>A23+1</f>
        <v>112</v>
      </c>
      <c r="C26" s="12" t="s">
        <v>346</v>
      </c>
      <c r="D26" s="12"/>
      <c r="E26" s="32">
        <f>-'15-NUC'!C20</f>
        <v>-163713376.0194256</v>
      </c>
      <c r="F26" t="s">
        <v>347</v>
      </c>
      <c r="G26" t="s">
        <v>342</v>
      </c>
      <c r="H26" s="8">
        <f t="shared" si="4"/>
        <v>112</v>
      </c>
      <c r="K26" s="33">
        <f>E26-'3-True-upTRR Original'!E26</f>
        <v>0</v>
      </c>
      <c r="L26" s="36"/>
      <c r="M26" s="36"/>
      <c r="N26" s="36"/>
      <c r="O26" s="36"/>
      <c r="P26" s="36"/>
    </row>
    <row r="27" spans="1:17">
      <c r="A27" s="8">
        <f>A26+1</f>
        <v>113</v>
      </c>
      <c r="C27" s="12" t="str">
        <f>+'1-BaseTRR'!C27</f>
        <v>Unfunded Reserves</v>
      </c>
      <c r="D27" s="12"/>
      <c r="E27" s="32">
        <f>'16-UnfundedReserves CorrectedV1'!E5</f>
        <v>-96631982</v>
      </c>
      <c r="F27" t="s">
        <v>348</v>
      </c>
      <c r="G27" t="s">
        <v>335</v>
      </c>
      <c r="H27" s="8">
        <f t="shared" si="4"/>
        <v>113</v>
      </c>
      <c r="K27" s="33">
        <f>E27-'3-True-upTRR Original'!E27</f>
        <v>-16768</v>
      </c>
      <c r="L27" s="36"/>
      <c r="M27" s="36"/>
      <c r="N27" s="36">
        <f>K27</f>
        <v>-16768</v>
      </c>
      <c r="O27" s="36"/>
      <c r="P27" s="36"/>
    </row>
    <row r="28" spans="1:17">
      <c r="A28" s="8">
        <f>A27+1</f>
        <v>114</v>
      </c>
      <c r="C28" s="12" t="s">
        <v>171</v>
      </c>
      <c r="D28" s="12"/>
      <c r="E28" s="22">
        <f>'17-RegAssets-1'!E26</f>
        <v>0</v>
      </c>
      <c r="F28" t="s">
        <v>349</v>
      </c>
      <c r="G28" t="s">
        <v>335</v>
      </c>
      <c r="H28" s="8">
        <f t="shared" si="4"/>
        <v>114</v>
      </c>
      <c r="K28" s="33">
        <f>E28-'3-True-upTRR Original'!E28</f>
        <v>0</v>
      </c>
      <c r="L28" s="36"/>
      <c r="M28" s="36"/>
      <c r="N28" s="36"/>
      <c r="O28" s="36"/>
      <c r="P28" s="36"/>
    </row>
    <row r="29" spans="1:17">
      <c r="C29" s="12"/>
      <c r="D29" s="12"/>
      <c r="E29" s="22"/>
      <c r="H29" s="8"/>
      <c r="L29" s="36"/>
      <c r="M29" s="36"/>
      <c r="N29" s="36"/>
      <c r="O29" s="36"/>
      <c r="P29" s="36"/>
    </row>
    <row r="30" spans="1:17">
      <c r="A30" s="8">
        <f>A28+1</f>
        <v>115</v>
      </c>
      <c r="C30" s="12" t="s">
        <v>173</v>
      </c>
      <c r="D30" s="12"/>
      <c r="E30" s="69">
        <f ca="1">+E10+E16+E21+E25+E26+E28+E27</f>
        <v>9797512283.7174721</v>
      </c>
      <c r="F30" t="str">
        <f>"Sum of Lines "&amp;A10&amp;", "&amp;A16&amp;", "&amp;A21&amp;" and Lines "&amp;A25&amp;B25&amp;" to "&amp;A28&amp;""</f>
        <v>Sum of Lines 103, 107, 110 and Lines 111c to 114</v>
      </c>
      <c r="H30" s="8">
        <f t="shared" si="4"/>
        <v>115</v>
      </c>
      <c r="K30" s="33">
        <f ca="1">E30-'3-True-upTRR Original'!E30</f>
        <v>-505449.62933921814</v>
      </c>
      <c r="L30" s="36">
        <f>SUM(L7:L29)</f>
        <v>0</v>
      </c>
      <c r="M30" s="36">
        <f>SUM(M7:M29)</f>
        <v>-488681.62933814526</v>
      </c>
      <c r="N30" s="36">
        <f>SUM(N7:N29)</f>
        <v>-16768</v>
      </c>
      <c r="O30" s="36">
        <f>SUM(O7:O29)</f>
        <v>0</v>
      </c>
      <c r="P30" s="36"/>
      <c r="Q30" s="33"/>
    </row>
    <row r="31" spans="1:17">
      <c r="E31" s="17"/>
      <c r="H31" s="8"/>
      <c r="L31" s="36"/>
      <c r="M31" s="36"/>
      <c r="N31" s="36"/>
      <c r="O31" s="36"/>
      <c r="P31" s="36"/>
    </row>
    <row r="32" spans="1:17">
      <c r="C32" s="53" t="s">
        <v>174</v>
      </c>
      <c r="D32" s="55"/>
      <c r="E32" s="55"/>
      <c r="F32" s="55"/>
      <c r="G32" s="55"/>
    </row>
    <row r="33" spans="1:15">
      <c r="C33" s="12" t="s">
        <v>350</v>
      </c>
    </row>
    <row r="34" spans="1:15">
      <c r="C34" s="835" t="s">
        <v>351</v>
      </c>
      <c r="D34" s="835"/>
      <c r="E34" s="835"/>
      <c r="F34" s="835"/>
      <c r="G34" s="835"/>
    </row>
    <row r="35" spans="1:15">
      <c r="C35" s="14"/>
    </row>
    <row r="36" spans="1:15">
      <c r="A36" s="13" t="s">
        <v>100</v>
      </c>
      <c r="B36" s="13"/>
      <c r="C36" s="13" t="s">
        <v>6</v>
      </c>
      <c r="E36" s="13" t="s">
        <v>134</v>
      </c>
      <c r="F36" s="13" t="s">
        <v>135</v>
      </c>
      <c r="G36" s="13" t="s">
        <v>136</v>
      </c>
      <c r="H36" s="13" t="str">
        <f>A36</f>
        <v>Line</v>
      </c>
    </row>
    <row r="37" spans="1:15" ht="77.25" customHeight="1">
      <c r="A37" s="8">
        <v>200</v>
      </c>
      <c r="C37" t="s">
        <v>352</v>
      </c>
      <c r="E37" s="51">
        <v>0.1045</v>
      </c>
      <c r="F37" s="50" t="s">
        <v>353</v>
      </c>
      <c r="G37" s="45" t="s">
        <v>354</v>
      </c>
      <c r="H37" s="8">
        <f t="shared" ref="H37" si="5">A37</f>
        <v>200</v>
      </c>
      <c r="K37" s="821">
        <f>E37-'3-True-upTRR Original'!E37</f>
        <v>0</v>
      </c>
    </row>
    <row r="38" spans="1:15">
      <c r="C38" s="14"/>
    </row>
    <row r="39" spans="1:15">
      <c r="C39" s="11" t="s">
        <v>204</v>
      </c>
      <c r="D39" s="11"/>
    </row>
    <row r="40" spans="1:15" ht="43.5">
      <c r="A40" s="8">
        <f>A37+1</f>
        <v>201</v>
      </c>
      <c r="C40" t="s">
        <v>205</v>
      </c>
      <c r="E40" s="29">
        <f>('5-CostofCap-3'!F22/('5-CostofCap-2 Corrected V1'!C13-'5-CostofCap-2 Corrected V1'!C15+'5-CostofCap-2 Corrected V1'!C17+'5-CostofCap-2 Corrected V1'!C19+'5-CostofCap-2 Corrected V1'!C21-'5-CostofCap-2 Corrected V1'!C23-'5-CostofCap-2 Corrected V1'!C25-'5-CostofCap-2 Corrected V1'!C27))*'1-BaseTRR'!E50</f>
        <v>1.8566922153303821E-2</v>
      </c>
      <c r="F40" s="45" t="s">
        <v>355</v>
      </c>
      <c r="G40" t="s">
        <v>333</v>
      </c>
      <c r="H40" s="8">
        <f t="shared" ref="H40:H43" si="6">A40</f>
        <v>201</v>
      </c>
      <c r="K40" s="822">
        <f>E40-'3-True-upTRR Original'!E40</f>
        <v>-2.5389200760877334E-5</v>
      </c>
    </row>
    <row r="41" spans="1:15">
      <c r="A41" s="8">
        <f>A40+1</f>
        <v>202</v>
      </c>
      <c r="C41" t="s">
        <v>206</v>
      </c>
      <c r="E41" s="29">
        <f>'1-BaseTRR'!E64</f>
        <v>2.7605794758881429E-4</v>
      </c>
      <c r="F41" t="str">
        <f>CONCATENATE("1-BaseTRR, L. ",'1-BaseTRR'!A64)</f>
        <v>1-BaseTRR, L. 217</v>
      </c>
      <c r="H41" s="8">
        <f t="shared" si="6"/>
        <v>202</v>
      </c>
      <c r="K41" s="822">
        <f>E41-'3-True-upTRR Original'!E41</f>
        <v>0</v>
      </c>
    </row>
    <row r="42" spans="1:15">
      <c r="A42" s="8">
        <f>A41+1</f>
        <v>203</v>
      </c>
      <c r="C42" t="s">
        <v>207</v>
      </c>
      <c r="E42" s="412">
        <f>E37*'1-BaseTRR'!E52</f>
        <v>5.198875E-2</v>
      </c>
      <c r="F42" t="str">
        <f>CONCATENATE("Line ",A37," * ","1-BaseTRR, L. ",'1-BaseTRR'!A52)</f>
        <v>Line 200 * 1-BaseTRR, L. 210</v>
      </c>
      <c r="H42" s="8">
        <f t="shared" si="6"/>
        <v>203</v>
      </c>
      <c r="K42" s="822">
        <f>E42-'3-True-upTRR Original'!E42</f>
        <v>0</v>
      </c>
    </row>
    <row r="43" spans="1:15">
      <c r="A43" s="8">
        <f>A42+1</f>
        <v>204</v>
      </c>
      <c r="C43" s="12" t="s">
        <v>208</v>
      </c>
      <c r="D43" s="12"/>
      <c r="E43" s="372">
        <f>SUM(E40:E42)</f>
        <v>7.0831730100892637E-2</v>
      </c>
      <c r="F43" s="6" t="str">
        <f>"Sum of Lines "&amp;A40&amp;" to "&amp;A42&amp;""</f>
        <v>Sum of Lines 201 to 203</v>
      </c>
      <c r="H43" s="8">
        <f t="shared" si="6"/>
        <v>204</v>
      </c>
      <c r="K43" s="822">
        <f>E43-'3-True-upTRR Original'!E43</f>
        <v>-2.5389200760866926E-5</v>
      </c>
    </row>
    <row r="45" spans="1:15">
      <c r="A45" s="8">
        <f>A43+1</f>
        <v>205</v>
      </c>
      <c r="C45" s="12" t="s">
        <v>209</v>
      </c>
      <c r="D45" s="12"/>
      <c r="E45" s="372">
        <f>E41+E42</f>
        <v>5.2264807947588816E-2</v>
      </c>
      <c r="F45" t="str">
        <f>"Line "&amp;A41&amp;" + Line "&amp;A42&amp;""</f>
        <v>Line 202 + Line 203</v>
      </c>
      <c r="G45" s="17"/>
      <c r="H45" s="8">
        <f t="shared" ref="H45" si="7">A45</f>
        <v>205</v>
      </c>
      <c r="K45" s="821">
        <f>E45-'3-True-upTRR Original'!E45</f>
        <v>0</v>
      </c>
    </row>
    <row r="46" spans="1:15">
      <c r="A46" s="8">
        <f>A45+1</f>
        <v>206</v>
      </c>
      <c r="C46" s="12" t="s">
        <v>210</v>
      </c>
      <c r="D46" s="12"/>
      <c r="E46" s="372">
        <f>'1-BaseTRR'!E69</f>
        <v>0</v>
      </c>
      <c r="F46" t="str">
        <f>CONCATENATE("1-BaseTRR, L. ",'1-BaseTRR'!A69)</f>
        <v>1-BaseTRR, L. 221</v>
      </c>
      <c r="G46" s="17"/>
      <c r="H46" s="8"/>
      <c r="K46" s="821">
        <f>E46-'3-True-upTRR Original'!E46</f>
        <v>0</v>
      </c>
    </row>
    <row r="47" spans="1:15">
      <c r="H47" s="8"/>
    </row>
    <row r="48" spans="1:15">
      <c r="A48" s="8">
        <f>A46+1</f>
        <v>207</v>
      </c>
      <c r="C48" t="s">
        <v>211</v>
      </c>
      <c r="D48" s="12"/>
      <c r="E48" s="22">
        <f ca="1">E43*E30</f>
        <v>693974745.74045622</v>
      </c>
      <c r="F48" t="str">
        <f>"Line "&amp;A43&amp;" * Line "&amp;A30&amp;""</f>
        <v>Line 204 * Line 115</v>
      </c>
      <c r="H48" s="8">
        <f t="shared" ref="H48" si="8">A48</f>
        <v>207</v>
      </c>
      <c r="K48" s="33">
        <f ca="1">E48-'3-True-upTRR Original'!E48</f>
        <v>-284565.71101546288</v>
      </c>
      <c r="L48" s="159">
        <f ca="1">($K$48-$O$48)*L30/SUM($L$30:$N$30)</f>
        <v>0</v>
      </c>
      <c r="M48" s="159">
        <f ca="1">($K$48-$O$48)*M30/SUM($L$30:$N$30)</f>
        <v>-34614.165274650943</v>
      </c>
      <c r="N48" s="159">
        <f ca="1">($K$48-$O$48)*N30/SUM($L$30:$N$30)</f>
        <v>-1187.7064503354386</v>
      </c>
      <c r="O48" s="40">
        <f ca="1">K43*(E30-K30)</f>
        <v>-248763.83929047649</v>
      </c>
    </row>
    <row r="49" spans="1:15">
      <c r="A49" s="8">
        <f>A48+1</f>
        <v>208</v>
      </c>
      <c r="C49" t="s">
        <v>212</v>
      </c>
      <c r="D49" s="12"/>
      <c r="E49" s="32">
        <f ca="1">E46*E9</f>
        <v>0</v>
      </c>
      <c r="F49" t="str">
        <f>"Line "&amp;A9&amp;" * Line "&amp;A46&amp;""</f>
        <v>Line 102 * Line 206</v>
      </c>
      <c r="H49" s="8"/>
      <c r="K49" s="33">
        <f ca="1">E49-'3-True-upTRR Original'!E49</f>
        <v>0</v>
      </c>
    </row>
    <row r="50" spans="1:15">
      <c r="A50" s="8">
        <f>A49+1</f>
        <v>209</v>
      </c>
      <c r="C50" s="12" t="s">
        <v>213</v>
      </c>
      <c r="D50" s="12"/>
      <c r="E50" s="69">
        <f ca="1">E48-E49</f>
        <v>693974745.74045622</v>
      </c>
      <c r="F50" t="str">
        <f>"Line "&amp;A48&amp;" - Line "&amp;A49&amp;""</f>
        <v>Line 207 - Line 208</v>
      </c>
      <c r="H50" s="8"/>
      <c r="K50" s="33">
        <f ca="1">E50-'3-True-upTRR Original'!E50</f>
        <v>-284565.71101546288</v>
      </c>
      <c r="L50" s="159">
        <f ca="1">L48</f>
        <v>0</v>
      </c>
      <c r="M50" s="159">
        <f ca="1">M48</f>
        <v>-34614.165274650943</v>
      </c>
      <c r="N50" s="159">
        <f ca="1">N48</f>
        <v>-1187.7064503354386</v>
      </c>
      <c r="O50" s="159">
        <f ca="1">O48</f>
        <v>-248763.83929047649</v>
      </c>
    </row>
    <row r="52" spans="1:15">
      <c r="C52" s="53" t="s">
        <v>356</v>
      </c>
      <c r="D52" s="55"/>
      <c r="E52" s="55"/>
      <c r="F52" s="55"/>
      <c r="G52" s="55"/>
    </row>
    <row r="53" spans="1:15">
      <c r="C53" s="12" t="s">
        <v>350</v>
      </c>
    </row>
    <row r="54" spans="1:15">
      <c r="C54" s="835" t="s">
        <v>357</v>
      </c>
      <c r="D54" s="835"/>
      <c r="E54" s="835"/>
      <c r="F54" s="835"/>
      <c r="G54" s="835"/>
    </row>
    <row r="55" spans="1:15">
      <c r="C55" s="14"/>
    </row>
    <row r="56" spans="1:15">
      <c r="A56" s="13" t="s">
        <v>100</v>
      </c>
      <c r="B56" s="13"/>
      <c r="C56" s="13" t="s">
        <v>6</v>
      </c>
      <c r="E56" s="13" t="s">
        <v>134</v>
      </c>
      <c r="F56" s="13" t="s">
        <v>135</v>
      </c>
      <c r="G56" s="13" t="s">
        <v>136</v>
      </c>
      <c r="H56" s="13" t="str">
        <f>A56</f>
        <v>Line</v>
      </c>
    </row>
    <row r="57" spans="1:15">
      <c r="A57" s="8">
        <v>300</v>
      </c>
      <c r="C57" t="s">
        <v>239</v>
      </c>
      <c r="E57" s="31">
        <f>'22-TaxRates'!C13</f>
        <v>0.21</v>
      </c>
      <c r="F57" t="s">
        <v>358</v>
      </c>
      <c r="H57" s="8">
        <f t="shared" ref="H57:H59" si="9">A57</f>
        <v>300</v>
      </c>
      <c r="K57" s="821">
        <f>E57-'3-True-upTRR Original'!E57</f>
        <v>0</v>
      </c>
    </row>
    <row r="58" spans="1:15">
      <c r="A58" s="8">
        <f>A57+1</f>
        <v>301</v>
      </c>
      <c r="C58" t="s">
        <v>241</v>
      </c>
      <c r="E58" s="412">
        <f>'22-TaxRates'!C14</f>
        <v>8.8400000000000006E-2</v>
      </c>
      <c r="F58" t="s">
        <v>359</v>
      </c>
      <c r="H58" s="8">
        <f t="shared" si="9"/>
        <v>301</v>
      </c>
      <c r="K58" s="821">
        <f>E58-'3-True-upTRR Original'!E58</f>
        <v>0</v>
      </c>
    </row>
    <row r="59" spans="1:15">
      <c r="A59" s="8">
        <f>A58+1</f>
        <v>302</v>
      </c>
      <c r="C59" s="12" t="s">
        <v>243</v>
      </c>
      <c r="D59" s="12"/>
      <c r="E59" s="372">
        <f>(E57+E58)-(E57*E58)</f>
        <v>0.27983599999999997</v>
      </c>
      <c r="F59" s="17" t="str">
        <f>"(Line "&amp;A57&amp;" + Line "&amp;A58&amp;") - (Line "&amp;A57&amp;" * Line "&amp;A58&amp;")"</f>
        <v>(Line 300 + Line 301) - (Line 300 * Line 301)</v>
      </c>
      <c r="H59" s="8">
        <f t="shared" si="9"/>
        <v>302</v>
      </c>
      <c r="K59" s="821">
        <f>E59-'3-True-upTRR Original'!E59</f>
        <v>0</v>
      </c>
    </row>
    <row r="61" spans="1:15">
      <c r="A61" s="8">
        <f>A59+1</f>
        <v>303</v>
      </c>
      <c r="C61" s="12" t="s">
        <v>255</v>
      </c>
      <c r="E61" s="24">
        <f ca="1">(((E66*E67)+E70-E71)*(E68/(1-E68)))+E69/(1-E68)</f>
        <v>171567383.41068453</v>
      </c>
      <c r="F61" t="str">
        <f>"Line "&amp;A63</f>
        <v>Line 304</v>
      </c>
      <c r="H61" s="8">
        <f t="shared" ref="H61" si="10">A61</f>
        <v>303</v>
      </c>
      <c r="K61" s="33">
        <f ca="1">E61-'3-True-upTRR Original'!E61</f>
        <v>-10265.010969638824</v>
      </c>
      <c r="M61" s="38">
        <f ca="1">$K$61*M50/SUM($M$50:$O$50)</f>
        <v>-1248.6212234821078</v>
      </c>
      <c r="N61" s="38">
        <f ca="1">$K$61*N50/SUM($M$50:$O$50)</f>
        <v>-42.843600860757192</v>
      </c>
      <c r="O61" s="38">
        <f ca="1">$K$61*O50/SUM($M$50:$O$50)</f>
        <v>-8973.5461452959589</v>
      </c>
    </row>
    <row r="63" spans="1:15">
      <c r="A63" s="8">
        <f>A61+1</f>
        <v>304</v>
      </c>
      <c r="C63" t="s">
        <v>360</v>
      </c>
      <c r="H63" s="8">
        <f t="shared" ref="H63" si="11">A63</f>
        <v>304</v>
      </c>
    </row>
    <row r="65" spans="1:11">
      <c r="C65" t="s">
        <v>257</v>
      </c>
    </row>
    <row r="66" spans="1:11">
      <c r="A66" s="8">
        <f>A63+1</f>
        <v>305</v>
      </c>
      <c r="C66" s="35" t="s">
        <v>258</v>
      </c>
      <c r="D66" s="35"/>
      <c r="E66" s="22">
        <f ca="1">+E30</f>
        <v>9797512283.7174721</v>
      </c>
      <c r="F66" t="str">
        <f>"Line "&amp;A30</f>
        <v>Line 115</v>
      </c>
      <c r="G66" s="21"/>
      <c r="H66" s="8">
        <f t="shared" ref="H66:H70" si="12">A66</f>
        <v>305</v>
      </c>
      <c r="K66" s="33">
        <f ca="1">E66-'3-True-upTRR Original'!E66</f>
        <v>-505449.62933921814</v>
      </c>
    </row>
    <row r="67" spans="1:11">
      <c r="A67" s="8">
        <f>A66+1</f>
        <v>306</v>
      </c>
      <c r="C67" s="18" t="s">
        <v>259</v>
      </c>
      <c r="D67" s="18"/>
      <c r="E67" s="31">
        <f>E45</f>
        <v>5.2264807947588816E-2</v>
      </c>
      <c r="F67" t="str">
        <f>"Line "&amp;A45</f>
        <v>Line 205</v>
      </c>
      <c r="H67" s="8">
        <f t="shared" si="12"/>
        <v>306</v>
      </c>
      <c r="K67" s="821">
        <f>E67-'3-True-upTRR Original'!E67</f>
        <v>0</v>
      </c>
    </row>
    <row r="68" spans="1:11">
      <c r="A68" s="8">
        <f t="shared" ref="A68:A69" si="13">A67+1</f>
        <v>307</v>
      </c>
      <c r="C68" s="35" t="s">
        <v>260</v>
      </c>
      <c r="D68" s="35"/>
      <c r="E68" s="28">
        <f>E59</f>
        <v>0.27983599999999997</v>
      </c>
      <c r="F68" t="str">
        <f>"Line "&amp;A59</f>
        <v>Line 302</v>
      </c>
      <c r="H68" s="8">
        <f t="shared" si="12"/>
        <v>307</v>
      </c>
      <c r="K68" s="821">
        <f>E68-'3-True-upTRR Original'!E68</f>
        <v>0</v>
      </c>
    </row>
    <row r="69" spans="1:11">
      <c r="A69" s="8">
        <f t="shared" si="13"/>
        <v>308</v>
      </c>
      <c r="C69" s="35" t="s">
        <v>261</v>
      </c>
      <c r="D69" s="35"/>
      <c r="E69" s="22">
        <f>'1-BaseTRR'!E108</f>
        <v>-23198253.921061806</v>
      </c>
      <c r="F69" t="str">
        <f>CONCATENATE("1-BaseTRR, L. ",'1-BaseTRR'!A108)</f>
        <v>1-BaseTRR, L. 407</v>
      </c>
      <c r="H69" s="8">
        <f t="shared" si="12"/>
        <v>308</v>
      </c>
      <c r="K69" s="33">
        <f>E69-'3-True-upTRR Original'!E69</f>
        <v>0</v>
      </c>
    </row>
    <row r="70" spans="1:11">
      <c r="A70" s="8">
        <f>A69+1</f>
        <v>309</v>
      </c>
      <c r="C70" s="35" t="s">
        <v>262</v>
      </c>
      <c r="D70" s="35"/>
      <c r="E70" s="22">
        <f>'1-BaseTRR'!E103</f>
        <v>12366737.300944462</v>
      </c>
      <c r="F70" t="str">
        <f>CONCATENATE("1-BaseTRR, L. ",'1-BaseTRR'!A103)</f>
        <v>1-BaseTRR, L. 404</v>
      </c>
      <c r="H70" s="8">
        <f t="shared" si="12"/>
        <v>309</v>
      </c>
      <c r="K70" s="33">
        <f>E70-'3-True-upTRR Original'!E70</f>
        <v>0</v>
      </c>
    </row>
    <row r="71" spans="1:11">
      <c r="A71" s="8">
        <f t="shared" ref="A71" si="14">A70+1</f>
        <v>310</v>
      </c>
      <c r="C71" s="35" t="s">
        <v>361</v>
      </c>
      <c r="D71" s="35"/>
      <c r="E71" s="32">
        <f ca="1">E49</f>
        <v>0</v>
      </c>
      <c r="F71" t="str">
        <f>"Line "&amp;A49&amp;""</f>
        <v>Line 208</v>
      </c>
      <c r="H71" s="8"/>
      <c r="K71" s="33">
        <f ca="1">E71-'3-True-upTRR Original'!E71</f>
        <v>0</v>
      </c>
    </row>
    <row r="73" spans="1:11">
      <c r="C73" s="53" t="s">
        <v>362</v>
      </c>
      <c r="D73" s="55"/>
      <c r="E73" s="55"/>
      <c r="F73" s="55"/>
      <c r="G73" s="55"/>
    </row>
    <row r="74" spans="1:11">
      <c r="C74" s="12" t="s">
        <v>350</v>
      </c>
    </row>
    <row r="75" spans="1:11">
      <c r="C75" s="834" t="str">
        <f>"1) Input the Annual True-up Adjustment that was included in the Prior Year's rates on Line "&amp;A101&amp;" and input the Rate Year the ATA trued-up. (For example,  if the Prior Year is 2021, then the ATA that was included in the 2021 rates was the ATA for 2019.)"</f>
        <v>1) Input the Annual True-up Adjustment that was included in the Prior Year's rates on Line 416 and input the Rate Year the ATA trued-up. (For example,  if the Prior Year is 2021, then the ATA that was included in the 2021 rates was the ATA for 2019.)</v>
      </c>
      <c r="D75" s="834"/>
      <c r="E75" s="834"/>
      <c r="F75" s="834"/>
      <c r="G75" s="834"/>
    </row>
    <row r="76" spans="1:11">
      <c r="C76" s="834"/>
      <c r="D76" s="834"/>
      <c r="E76" s="834"/>
      <c r="F76" s="834"/>
      <c r="G76" s="834"/>
    </row>
    <row r="77" spans="1:11">
      <c r="C77" s="6"/>
    </row>
    <row r="78" spans="1:11">
      <c r="A78" s="13" t="s">
        <v>100</v>
      </c>
      <c r="B78" s="13"/>
      <c r="C78" s="13" t="s">
        <v>6</v>
      </c>
      <c r="E78" s="13" t="s">
        <v>134</v>
      </c>
      <c r="F78" s="13" t="s">
        <v>135</v>
      </c>
      <c r="G78" s="13" t="s">
        <v>136</v>
      </c>
      <c r="H78" s="13" t="str">
        <f>A78</f>
        <v>Line</v>
      </c>
    </row>
    <row r="79" spans="1:11">
      <c r="C79" s="11" t="s">
        <v>265</v>
      </c>
      <c r="D79" s="11"/>
    </row>
    <row r="80" spans="1:11">
      <c r="A80" s="8">
        <v>400</v>
      </c>
      <c r="C80" t="s">
        <v>266</v>
      </c>
      <c r="E80" s="22">
        <f>'1-BaseTRR'!E125</f>
        <v>648895032.04825652</v>
      </c>
      <c r="F80" t="str">
        <f>CONCATENATE("1-BaseTRR, L. ",'1-BaseTRR'!A125)</f>
        <v>1-BaseTRR, L. 500</v>
      </c>
      <c r="H80" s="8">
        <f t="shared" ref="H80:H94" si="15">A80</f>
        <v>400</v>
      </c>
      <c r="K80" s="33">
        <f>E80-'3-True-upTRR Original'!E80</f>
        <v>0</v>
      </c>
    </row>
    <row r="81" spans="1:15">
      <c r="A81" s="8">
        <f>A80+1</f>
        <v>401</v>
      </c>
      <c r="C81" t="s">
        <v>268</v>
      </c>
      <c r="E81" s="22">
        <f>'1-BaseTRR'!E126</f>
        <v>395523073.48193848</v>
      </c>
      <c r="F81" t="str">
        <f>CONCATENATE("1-BaseTRR, L. ",'1-BaseTRR'!A126)</f>
        <v>1-BaseTRR, L. 501</v>
      </c>
      <c r="H81" s="8">
        <f t="shared" si="15"/>
        <v>401</v>
      </c>
      <c r="K81" s="33">
        <f>E81-'3-True-upTRR Original'!E81</f>
        <v>-4886816.2933813334</v>
      </c>
      <c r="M81" s="33">
        <f>K81</f>
        <v>-4886816.2933813334</v>
      </c>
    </row>
    <row r="82" spans="1:15">
      <c r="A82" s="8">
        <f t="shared" ref="A82:A91" si="16">A81+1</f>
        <v>402</v>
      </c>
      <c r="C82" t="s">
        <v>270</v>
      </c>
      <c r="E82" s="22">
        <f>'1-BaseTRR'!E127</f>
        <v>7472552.4640722312</v>
      </c>
      <c r="F82" t="str">
        <f>CONCATENATE("1-BaseTRR, L. ",'1-BaseTRR'!A127)</f>
        <v>1-BaseTRR, L. 502</v>
      </c>
      <c r="H82" s="8">
        <f t="shared" si="15"/>
        <v>402</v>
      </c>
      <c r="K82" s="33">
        <f>E82-'3-True-upTRR Original'!E82</f>
        <v>0</v>
      </c>
    </row>
    <row r="83" spans="1:15">
      <c r="A83" s="8">
        <f t="shared" si="16"/>
        <v>403</v>
      </c>
      <c r="C83" t="s">
        <v>272</v>
      </c>
      <c r="E83" s="22">
        <f>'1-BaseTRR'!E128</f>
        <v>497742978.89928067</v>
      </c>
      <c r="F83" t="str">
        <f>CONCATENATE("1-BaseTRR, L. ",'1-BaseTRR'!A128)</f>
        <v>1-BaseTRR, L. 503</v>
      </c>
      <c r="H83" s="8">
        <f t="shared" si="15"/>
        <v>403</v>
      </c>
      <c r="K83" s="33">
        <f>E83-'3-True-upTRR Original'!E83</f>
        <v>0</v>
      </c>
    </row>
    <row r="84" spans="1:15">
      <c r="A84" s="8">
        <f t="shared" si="16"/>
        <v>404</v>
      </c>
      <c r="C84" t="s">
        <v>276</v>
      </c>
      <c r="E84" s="22">
        <f ca="1">+'8-AbandonedPlant'!I14</f>
        <v>0</v>
      </c>
      <c r="F84" t="s">
        <v>277</v>
      </c>
      <c r="H84" s="8">
        <f t="shared" si="15"/>
        <v>404</v>
      </c>
      <c r="K84" s="33">
        <f ca="1">E84-'3-True-upTRR Original'!E84</f>
        <v>0</v>
      </c>
    </row>
    <row r="85" spans="1:15">
      <c r="A85" s="8">
        <f t="shared" si="16"/>
        <v>405</v>
      </c>
      <c r="C85" t="s">
        <v>278</v>
      </c>
      <c r="E85" s="22">
        <f ca="1">E50</f>
        <v>693974745.74045622</v>
      </c>
      <c r="F85" t="str">
        <f>"Line "&amp;A50&amp;""</f>
        <v>Line 209</v>
      </c>
      <c r="H85" s="8">
        <f t="shared" si="15"/>
        <v>405</v>
      </c>
      <c r="K85" s="33">
        <f ca="1">E85-'3-True-upTRR Original'!E85</f>
        <v>-284565.71101546288</v>
      </c>
      <c r="L85" s="159">
        <f ca="1">L50</f>
        <v>0</v>
      </c>
      <c r="M85" s="159">
        <f t="shared" ref="M85:O85" ca="1" si="17">M50</f>
        <v>-34614.165274650943</v>
      </c>
      <c r="N85" s="159">
        <f t="shared" ca="1" si="17"/>
        <v>-1187.7064503354386</v>
      </c>
      <c r="O85" s="159">
        <f t="shared" ca="1" si="17"/>
        <v>-248763.83929047649</v>
      </c>
    </row>
    <row r="86" spans="1:15">
      <c r="A86" s="8">
        <f t="shared" si="16"/>
        <v>406</v>
      </c>
      <c r="C86" t="s">
        <v>279</v>
      </c>
      <c r="E86" s="22">
        <f>'1-BaseTRR'!E132</f>
        <v>136508486.6180096</v>
      </c>
      <c r="F86" t="str">
        <f>CONCATENATE("1-BaseTRR, L. ",'1-BaseTRR'!A132)</f>
        <v>1-BaseTRR, L. 507</v>
      </c>
      <c r="H86" s="8">
        <f t="shared" si="15"/>
        <v>406</v>
      </c>
      <c r="K86" s="33">
        <f>E86-'3-True-upTRR Original'!E86</f>
        <v>0</v>
      </c>
    </row>
    <row r="87" spans="1:15">
      <c r="A87" s="8">
        <f t="shared" si="16"/>
        <v>407</v>
      </c>
      <c r="C87" t="s">
        <v>280</v>
      </c>
      <c r="E87" s="22">
        <f ca="1">E61</f>
        <v>171567383.41068453</v>
      </c>
      <c r="F87" t="str">
        <f>"Line "&amp;A61&amp;""</f>
        <v>Line 303</v>
      </c>
      <c r="H87" s="8">
        <f t="shared" si="15"/>
        <v>407</v>
      </c>
      <c r="K87" s="33">
        <f ca="1">E87-'3-True-upTRR Original'!E87</f>
        <v>-10265.010969638824</v>
      </c>
      <c r="L87">
        <f>L61</f>
        <v>0</v>
      </c>
      <c r="M87" s="36">
        <f t="shared" ref="M87:O87" ca="1" si="18">M61</f>
        <v>-1248.6212234821078</v>
      </c>
      <c r="N87" s="36">
        <f t="shared" ca="1" si="18"/>
        <v>-42.843600860757192</v>
      </c>
      <c r="O87" s="36">
        <f t="shared" ca="1" si="18"/>
        <v>-8973.5461452959589</v>
      </c>
    </row>
    <row r="88" spans="1:15">
      <c r="A88" s="8">
        <f t="shared" si="16"/>
        <v>408</v>
      </c>
      <c r="C88" t="s">
        <v>55</v>
      </c>
      <c r="E88" s="22">
        <f>'1-BaseTRR'!E134</f>
        <v>-11231338</v>
      </c>
      <c r="F88" t="str">
        <f>CONCATENATE("1-BaseTRR, L. ",'1-BaseTRR'!A134)</f>
        <v>1-BaseTRR, L. 509</v>
      </c>
      <c r="G88" t="s">
        <v>282</v>
      </c>
      <c r="H88" s="8">
        <f t="shared" si="15"/>
        <v>408</v>
      </c>
      <c r="K88" s="33">
        <f>E88-'3-True-upTRR Original'!E88</f>
        <v>6233437</v>
      </c>
      <c r="L88" s="33">
        <f>K88</f>
        <v>6233437</v>
      </c>
    </row>
    <row r="89" spans="1:15">
      <c r="A89" s="8">
        <f t="shared" si="16"/>
        <v>409</v>
      </c>
      <c r="C89" t="s">
        <v>283</v>
      </c>
      <c r="E89" s="22">
        <f>'1-BaseTRR'!E135</f>
        <v>-17690454.906901166</v>
      </c>
      <c r="F89" t="str">
        <f>CONCATENATE("1-BaseTRR, L. ",'1-BaseTRR'!A135)</f>
        <v>1-BaseTRR, L. 510</v>
      </c>
      <c r="G89" t="s">
        <v>282</v>
      </c>
      <c r="H89" s="8">
        <f t="shared" si="15"/>
        <v>409</v>
      </c>
      <c r="K89" s="33">
        <f>E89-'3-True-upTRR Original'!E89</f>
        <v>0</v>
      </c>
    </row>
    <row r="90" spans="1:15">
      <c r="A90" s="8">
        <f t="shared" si="16"/>
        <v>410</v>
      </c>
      <c r="C90" t="s">
        <v>285</v>
      </c>
      <c r="E90" s="23">
        <f>'1-BaseTRR'!E136</f>
        <v>0</v>
      </c>
      <c r="F90" t="str">
        <f>CONCATENATE("1-BaseTRR, L. ",'1-BaseTRR'!A136)</f>
        <v>1-BaseTRR, L. 511</v>
      </c>
      <c r="H90" s="8">
        <f t="shared" si="15"/>
        <v>410</v>
      </c>
      <c r="K90" s="33">
        <f>E90-'3-True-upTRR Original'!E90</f>
        <v>0</v>
      </c>
    </row>
    <row r="91" spans="1:15">
      <c r="A91" s="8">
        <f t="shared" si="16"/>
        <v>411</v>
      </c>
      <c r="C91" s="12" t="s">
        <v>288</v>
      </c>
      <c r="D91" s="12"/>
      <c r="E91" s="24">
        <f ca="1">SUM(E80:E90)</f>
        <v>2522762459.7557969</v>
      </c>
      <c r="F91" t="str">
        <f>"Sum Lines "&amp;A80&amp;" to "&amp;A90&amp;""</f>
        <v>Sum Lines 400 to 410</v>
      </c>
      <c r="H91" s="8">
        <f t="shared" si="15"/>
        <v>411</v>
      </c>
      <c r="K91" s="33">
        <f ca="1">E91-'3-True-upTRR Original'!E91</f>
        <v>1051789.9846334457</v>
      </c>
      <c r="L91" s="36">
        <f ca="1">SUM(L80:L90)</f>
        <v>6233437</v>
      </c>
      <c r="M91" s="36">
        <f t="shared" ref="M91:O91" ca="1" si="19">SUM(M80:M90)</f>
        <v>-4922679.0798794664</v>
      </c>
      <c r="N91" s="36">
        <f t="shared" ca="1" si="19"/>
        <v>-1230.5500511961959</v>
      </c>
      <c r="O91" s="36">
        <f t="shared" ca="1" si="19"/>
        <v>-257737.38543577245</v>
      </c>
    </row>
    <row r="92" spans="1:15">
      <c r="H92" s="8"/>
    </row>
    <row r="93" spans="1:15">
      <c r="C93" s="11" t="s">
        <v>289</v>
      </c>
      <c r="D93" s="11"/>
    </row>
    <row r="94" spans="1:15">
      <c r="A94" s="8">
        <f>A91+1</f>
        <v>412</v>
      </c>
      <c r="C94" t="s">
        <v>290</v>
      </c>
      <c r="E94" s="19">
        <f>'1-BaseTRR'!E140</f>
        <v>7.5170000000000011E-3</v>
      </c>
      <c r="F94" t="str">
        <f>CONCATENATE("1-BaseTRR, L. ",'1-BaseTRR'!A140)</f>
        <v>1-BaseTRR, L. 513</v>
      </c>
      <c r="H94" s="8">
        <f t="shared" si="15"/>
        <v>412</v>
      </c>
      <c r="K94" s="821">
        <f>E94-'3-True-upTRR Original'!E94</f>
        <v>0</v>
      </c>
    </row>
    <row r="95" spans="1:15">
      <c r="A95" s="8">
        <f>A94+1</f>
        <v>413</v>
      </c>
      <c r="C95" t="s">
        <v>292</v>
      </c>
      <c r="D95" s="12"/>
      <c r="E95" s="42">
        <f>'1-BaseTRR'!E141</f>
        <v>2.7300000000000002E-4</v>
      </c>
      <c r="F95" t="str">
        <f>CONCATENATE("1-BaseTRR, L. ",'1-BaseTRR'!A141)</f>
        <v>1-BaseTRR, L. 514</v>
      </c>
      <c r="H95" s="8">
        <f t="shared" ref="H95:H108" si="20">A95</f>
        <v>413</v>
      </c>
      <c r="K95" s="821">
        <f>E95-'3-True-upTRR Original'!E95</f>
        <v>0</v>
      </c>
    </row>
    <row r="96" spans="1:15">
      <c r="A96" s="8">
        <f>A95+1</f>
        <v>414</v>
      </c>
      <c r="C96" s="12" t="s">
        <v>294</v>
      </c>
      <c r="D96" s="12"/>
      <c r="E96" s="24">
        <f ca="1">(E94+E95)*E91</f>
        <v>19652319.561497658</v>
      </c>
      <c r="F96" s="17" t="str">
        <f>"Line "&amp;A91&amp;" * ( Line "&amp;A94&amp;" + Line "&amp;A95&amp;")"</f>
        <v>Line 411 * ( Line 412 + Line 413)</v>
      </c>
      <c r="H96" s="8">
        <f t="shared" si="20"/>
        <v>414</v>
      </c>
      <c r="K96" s="33">
        <f ca="1">E96-'3-True-upTRR Original'!E96</f>
        <v>8193.4439802914858</v>
      </c>
      <c r="L96" s="159">
        <f ca="1">$K$96*L91/SUM($L$91:$O$91)</f>
        <v>48558.474229976382</v>
      </c>
      <c r="M96" s="159">
        <f t="shared" ref="M96:O96" ca="1" si="21">$K$96*M91/SUM($L$91:$O$91)</f>
        <v>-38347.670032242393</v>
      </c>
      <c r="N96" s="159">
        <f t="shared" ca="1" si="21"/>
        <v>-9.5859848988137042</v>
      </c>
      <c r="O96" s="159">
        <f t="shared" ca="1" si="21"/>
        <v>-2007.7742325436909</v>
      </c>
    </row>
    <row r="97" spans="1:16">
      <c r="C97" s="12"/>
      <c r="D97" s="12"/>
      <c r="E97" s="22"/>
      <c r="H97" s="8"/>
    </row>
    <row r="98" spans="1:16">
      <c r="A98" s="8">
        <f>A96+1</f>
        <v>415</v>
      </c>
      <c r="C98" s="12" t="s">
        <v>363</v>
      </c>
      <c r="D98" s="12"/>
      <c r="E98" s="24">
        <f ca="1">E96+E91</f>
        <v>2542414779.3172946</v>
      </c>
      <c r="F98" t="str">
        <f>"Line "&amp;A91&amp;" + Line "&amp;A96&amp;""</f>
        <v>Line 411 + Line 414</v>
      </c>
      <c r="H98" s="8">
        <f t="shared" ref="H98" si="22">A98</f>
        <v>415</v>
      </c>
      <c r="K98" s="33">
        <f ca="1">E98-'3-True-upTRR Original'!E98</f>
        <v>1059983.4286136627</v>
      </c>
      <c r="L98" s="159">
        <f ca="1">L91+L96</f>
        <v>6281995.4742299765</v>
      </c>
      <c r="M98" s="159">
        <f t="shared" ref="M98:O98" ca="1" si="23">M91+M96</f>
        <v>-4961026.7499117088</v>
      </c>
      <c r="N98" s="159">
        <f t="shared" ca="1" si="23"/>
        <v>-1240.1360360950096</v>
      </c>
      <c r="O98" s="159">
        <f t="shared" ca="1" si="23"/>
        <v>-259745.15966831613</v>
      </c>
    </row>
    <row r="99" spans="1:16">
      <c r="C99" s="12"/>
      <c r="D99" s="12"/>
      <c r="E99" s="22"/>
      <c r="H99" s="8"/>
    </row>
    <row r="100" spans="1:16">
      <c r="C100" s="11" t="s">
        <v>14</v>
      </c>
      <c r="D100" s="12"/>
      <c r="E100" s="22"/>
      <c r="H100" s="8"/>
    </row>
    <row r="101" spans="1:16">
      <c r="A101" s="8">
        <f>A98+1</f>
        <v>416</v>
      </c>
      <c r="C101" t="s">
        <v>364</v>
      </c>
      <c r="E101" s="52">
        <v>-40890095</v>
      </c>
      <c r="F101" s="50" t="s">
        <v>365</v>
      </c>
      <c r="H101" s="8">
        <f>A101</f>
        <v>416</v>
      </c>
      <c r="K101" s="33">
        <f>E101-'3-True-upTRR Original'!E101</f>
        <v>0</v>
      </c>
    </row>
    <row r="102" spans="1:16">
      <c r="E102" s="33"/>
      <c r="H102" s="8"/>
    </row>
    <row r="103" spans="1:16">
      <c r="A103" s="8">
        <f>A101+1</f>
        <v>417</v>
      </c>
      <c r="C103" s="12" t="s">
        <v>366</v>
      </c>
      <c r="E103" s="24">
        <f ca="1">E101+E98</f>
        <v>2501524684.3172946</v>
      </c>
      <c r="F103" t="str">
        <f>"Line "&amp;A98&amp;" + Line "&amp;A101&amp;""</f>
        <v>Line 415 + Line 416</v>
      </c>
      <c r="H103" s="8">
        <f>A103</f>
        <v>417</v>
      </c>
      <c r="K103" s="33">
        <f ca="1">E103-'3-True-upTRR Original'!E103</f>
        <v>1059983.4286136627</v>
      </c>
      <c r="L103" s="159">
        <f ca="1">L98</f>
        <v>6281995.4742299765</v>
      </c>
      <c r="M103" s="159">
        <f t="shared" ref="M103:O103" ca="1" si="24">M98</f>
        <v>-4961026.7499117088</v>
      </c>
      <c r="N103" s="159">
        <f t="shared" ca="1" si="24"/>
        <v>-1240.1360360950096</v>
      </c>
      <c r="O103" s="159">
        <f t="shared" ca="1" si="24"/>
        <v>-259745.15966831613</v>
      </c>
    </row>
    <row r="104" spans="1:16">
      <c r="C104" s="12"/>
      <c r="D104" s="12"/>
      <c r="E104" s="22"/>
      <c r="H104" s="8"/>
    </row>
    <row r="105" spans="1:16">
      <c r="C105" s="11" t="s">
        <v>367</v>
      </c>
      <c r="D105" s="12"/>
      <c r="E105" s="22"/>
      <c r="H105" s="8"/>
    </row>
    <row r="106" spans="1:16">
      <c r="A106" s="8">
        <f>A103+1</f>
        <v>418</v>
      </c>
      <c r="C106" t="s">
        <v>300</v>
      </c>
      <c r="D106" s="12"/>
      <c r="E106" s="19">
        <f>'1-BaseTRR'!E155</f>
        <v>2.9529999999999999E-3</v>
      </c>
      <c r="F106" t="str">
        <f>CONCATENATE("1-BaseTRR, L. ",'1-BaseTRR'!A155)</f>
        <v>1-BaseTRR, L. 700</v>
      </c>
      <c r="H106" s="8">
        <f t="shared" ref="H106" si="25">A106</f>
        <v>418</v>
      </c>
      <c r="K106" s="821">
        <f>E106-'3-True-upTRR Original'!E106</f>
        <v>0</v>
      </c>
    </row>
    <row r="107" spans="1:16">
      <c r="A107" s="8">
        <f>A106+1</f>
        <v>419</v>
      </c>
      <c r="C107" t="s">
        <v>302</v>
      </c>
      <c r="E107" s="22">
        <f ca="1">E106*E103</f>
        <v>7387002.3927889708</v>
      </c>
      <c r="F107" s="17" t="str">
        <f>"Line "&amp;A103&amp;" * Line "&amp;A106&amp;""</f>
        <v>Line 417 * Line 418</v>
      </c>
      <c r="H107" s="8">
        <f t="shared" si="20"/>
        <v>419</v>
      </c>
      <c r="K107" s="33">
        <f ca="1">E107-'3-True-upTRR Original'!E107</f>
        <v>3130.1310646962374</v>
      </c>
      <c r="L107" s="159">
        <f ca="1">$K$107*L103/SUM($L$103:$O$103)</f>
        <v>18550.732635398268</v>
      </c>
      <c r="M107" s="159">
        <f t="shared" ref="M107:O107" ca="1" si="26">$K$107*M103/SUM($L$103:$O$103)</f>
        <v>-14649.911992487023</v>
      </c>
      <c r="N107" s="159">
        <f t="shared" ca="1" si="26"/>
        <v>-3.6621217145880003</v>
      </c>
      <c r="O107" s="159">
        <f t="shared" ca="1" si="26"/>
        <v>-767.02745650041959</v>
      </c>
    </row>
    <row r="108" spans="1:16">
      <c r="A108" s="8">
        <f>A107+1</f>
        <v>420</v>
      </c>
      <c r="C108" t="s">
        <v>303</v>
      </c>
      <c r="E108" s="22">
        <f>+'23-RetailSGTax'!E38</f>
        <v>4740417.7727485662</v>
      </c>
      <c r="F108" t="s">
        <v>368</v>
      </c>
      <c r="H108" s="8">
        <f t="shared" si="20"/>
        <v>420</v>
      </c>
      <c r="K108" s="33">
        <f>E108-'3-True-upTRR Original'!E108</f>
        <v>0</v>
      </c>
    </row>
    <row r="109" spans="1:16">
      <c r="H109" s="8"/>
    </row>
    <row r="110" spans="1:16">
      <c r="A110" s="8">
        <f>A108+1</f>
        <v>421</v>
      </c>
      <c r="C110" s="12" t="s">
        <v>12</v>
      </c>
      <c r="D110" s="12"/>
      <c r="E110" s="24">
        <f ca="1">E103+E107+E108</f>
        <v>2513652104.482832</v>
      </c>
      <c r="F110" t="str">
        <f>"Line "&amp;A103&amp;" + Line "&amp;A107&amp;" + Line "&amp;A108&amp;""</f>
        <v>Line 417 + Line 419 + Line 420</v>
      </c>
      <c r="H110" s="8">
        <f t="shared" ref="H110" si="27">A110</f>
        <v>421</v>
      </c>
      <c r="K110" s="33">
        <f ca="1">E110-'3-True-upTRR Original'!E110</f>
        <v>1063113.5596780777</v>
      </c>
      <c r="L110" s="159">
        <f ca="1">L103+L107</f>
        <v>6300546.2068653749</v>
      </c>
      <c r="M110" s="159">
        <f t="shared" ref="M110:O110" ca="1" si="28">M103+M107</f>
        <v>-4975676.6619041953</v>
      </c>
      <c r="N110" s="159">
        <f t="shared" ca="1" si="28"/>
        <v>-1243.7981578095976</v>
      </c>
      <c r="O110" s="159">
        <f t="shared" ca="1" si="28"/>
        <v>-260512.18712481656</v>
      </c>
    </row>
    <row r="111" spans="1:16">
      <c r="H111" s="8"/>
      <c r="O111" s="33">
        <f ca="1">K110-SUM(L110:O110)</f>
        <v>-4.7590583562850952E-7</v>
      </c>
      <c r="P111" t="s">
        <v>2135</v>
      </c>
    </row>
    <row r="112" spans="1:16">
      <c r="C112" s="16"/>
    </row>
    <row r="113" spans="5:5">
      <c r="E113" s="43"/>
    </row>
    <row r="115" spans="5:5">
      <c r="E115" s="38"/>
    </row>
    <row r="144" spans="11:11">
      <c r="K144" t="e">
        <f ca="1">E30/E144*E151</f>
        <v>#DIV/0!</v>
      </c>
    </row>
    <row r="160" spans="10:10">
      <c r="J160">
        <f>E160-D160</f>
        <v>0</v>
      </c>
    </row>
  </sheetData>
  <mergeCells count="8">
    <mergeCell ref="N5:N6"/>
    <mergeCell ref="O5:O6"/>
    <mergeCell ref="M5:M6"/>
    <mergeCell ref="C34:G34"/>
    <mergeCell ref="C75:G76"/>
    <mergeCell ref="C54:G54"/>
    <mergeCell ref="K4:K6"/>
    <mergeCell ref="L5:L6"/>
  </mergeCells>
  <printOptions horizontalCentered="1"/>
  <pageMargins left="1" right="1" top="1" bottom="1" header="0.5" footer="0.5"/>
  <pageSetup scale="65"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rowBreaks count="1" manualBreakCount="1">
    <brk id="71" max="8" man="1"/>
  </rowBreaks>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33EEB-636C-4AF7-8CD0-525DAE9AA937}">
  <sheetPr>
    <tabColor rgb="FFC00000"/>
    <pageSetUpPr fitToPage="1"/>
  </sheetPr>
  <dimension ref="A1:K160"/>
  <sheetViews>
    <sheetView tabSelected="1" view="pageBreakPreview" topLeftCell="A89" zoomScaleNormal="85" zoomScaleSheetLayoutView="100" zoomScalePageLayoutView="70" workbookViewId="0">
      <selection activeCell="E174" sqref="E174"/>
    </sheetView>
  </sheetViews>
  <sheetFormatPr defaultColWidth="9.1796875" defaultRowHeight="14.5"/>
  <cols>
    <col min="1" max="1" width="4.54296875" style="8" bestFit="1" customWidth="1"/>
    <col min="2" max="2" width="2.1796875" style="8" bestFit="1" customWidth="1"/>
    <col min="3" max="3" width="73.453125" bestFit="1" customWidth="1"/>
    <col min="4" max="4" width="4.54296875" customWidth="1"/>
    <col min="5" max="5" width="20.1796875" bestFit="1" customWidth="1"/>
    <col min="6" max="6" width="42.1796875" bestFit="1" customWidth="1"/>
    <col min="7" max="7" width="20.1796875" customWidth="1"/>
    <col min="8" max="8" width="4.54296875" bestFit="1" customWidth="1"/>
    <col min="9" max="9" width="2.1796875" customWidth="1"/>
    <col min="10" max="10" width="13.453125" customWidth="1"/>
    <col min="11" max="11" width="25.1796875" customWidth="1"/>
  </cols>
  <sheetData>
    <row r="1" spans="1:11">
      <c r="C1" s="14" t="s">
        <v>12</v>
      </c>
      <c r="F1" s="15"/>
      <c r="G1" s="15" t="s">
        <v>2055</v>
      </c>
    </row>
    <row r="2" spans="1:11">
      <c r="C2" s="47" t="s">
        <v>131</v>
      </c>
      <c r="F2" s="15"/>
    </row>
    <row r="3" spans="1:11">
      <c r="A3" s="14"/>
      <c r="B3" s="14"/>
      <c r="C3" s="12"/>
      <c r="I3" s="15"/>
      <c r="J3" s="12"/>
    </row>
    <row r="4" spans="1:11">
      <c r="C4" s="53" t="s">
        <v>133</v>
      </c>
      <c r="D4" s="54"/>
      <c r="E4" s="55"/>
      <c r="F4" s="55"/>
      <c r="G4" s="55"/>
    </row>
    <row r="5" spans="1:11">
      <c r="A5" s="13" t="s">
        <v>100</v>
      </c>
      <c r="B5" s="13"/>
      <c r="C5" s="13" t="s">
        <v>6</v>
      </c>
      <c r="E5" s="13" t="s">
        <v>134</v>
      </c>
      <c r="F5" s="13" t="s">
        <v>135</v>
      </c>
      <c r="G5" s="13" t="s">
        <v>136</v>
      </c>
      <c r="H5" s="13" t="s">
        <v>100</v>
      </c>
    </row>
    <row r="6" spans="1:11">
      <c r="A6"/>
      <c r="B6"/>
      <c r="C6" s="11" t="s">
        <v>137</v>
      </c>
      <c r="D6" s="11"/>
    </row>
    <row r="7" spans="1:11">
      <c r="A7" s="8">
        <v>100</v>
      </c>
      <c r="C7" t="s">
        <v>138</v>
      </c>
      <c r="E7" s="22">
        <v>14305324872.538462</v>
      </c>
      <c r="F7" t="s">
        <v>332</v>
      </c>
      <c r="G7" t="s">
        <v>333</v>
      </c>
      <c r="H7" s="8">
        <v>100</v>
      </c>
    </row>
    <row r="8" spans="1:11">
      <c r="A8" s="8">
        <v>101</v>
      </c>
      <c r="C8" t="s">
        <v>141</v>
      </c>
      <c r="E8" s="22">
        <v>1335633986.7146969</v>
      </c>
      <c r="F8" t="s">
        <v>334</v>
      </c>
      <c r="G8" t="s">
        <v>335</v>
      </c>
      <c r="H8" s="8">
        <v>101</v>
      </c>
    </row>
    <row r="9" spans="1:11">
      <c r="A9" s="8">
        <v>102</v>
      </c>
      <c r="C9" t="s">
        <v>143</v>
      </c>
      <c r="E9" s="23">
        <v>0</v>
      </c>
      <c r="F9" t="s">
        <v>336</v>
      </c>
      <c r="G9" t="s">
        <v>335</v>
      </c>
      <c r="H9" s="8">
        <v>102</v>
      </c>
    </row>
    <row r="10" spans="1:11">
      <c r="A10" s="8">
        <v>103</v>
      </c>
      <c r="C10" s="12" t="s">
        <v>145</v>
      </c>
      <c r="D10" s="12"/>
      <c r="E10" s="24">
        <v>15640958859.253159</v>
      </c>
      <c r="F10" s="6" t="s">
        <v>2056</v>
      </c>
      <c r="H10" s="8">
        <v>103</v>
      </c>
    </row>
    <row r="11" spans="1:11">
      <c r="E11" s="33"/>
    </row>
    <row r="12" spans="1:11">
      <c r="C12" s="11" t="s">
        <v>146</v>
      </c>
      <c r="D12" s="11"/>
      <c r="E12" s="33"/>
    </row>
    <row r="13" spans="1:11">
      <c r="A13" s="8">
        <v>104</v>
      </c>
      <c r="C13" t="s">
        <v>147</v>
      </c>
      <c r="E13" s="22">
        <v>88812496.20718953</v>
      </c>
      <c r="F13" t="s">
        <v>337</v>
      </c>
      <c r="G13" t="s">
        <v>333</v>
      </c>
      <c r="H13" s="8">
        <v>104</v>
      </c>
    </row>
    <row r="14" spans="1:11">
      <c r="A14" s="8">
        <v>105</v>
      </c>
      <c r="C14" t="s">
        <v>149</v>
      </c>
      <c r="E14" s="22">
        <v>73885932</v>
      </c>
      <c r="F14" t="s">
        <v>338</v>
      </c>
      <c r="G14" t="s">
        <v>333</v>
      </c>
      <c r="H14" s="8">
        <v>105</v>
      </c>
    </row>
    <row r="15" spans="1:11">
      <c r="A15" s="8">
        <v>106</v>
      </c>
      <c r="C15" t="s">
        <v>151</v>
      </c>
      <c r="E15" s="26">
        <v>104930492.18235764</v>
      </c>
      <c r="F15" t="s">
        <v>2057</v>
      </c>
      <c r="H15" s="8">
        <v>106</v>
      </c>
      <c r="K15" s="33"/>
    </row>
    <row r="16" spans="1:11">
      <c r="A16" s="8">
        <v>107</v>
      </c>
      <c r="C16" s="12" t="s">
        <v>152</v>
      </c>
      <c r="D16" s="12"/>
      <c r="E16" s="24">
        <v>267628920.38954717</v>
      </c>
      <c r="F16" s="6" t="s">
        <v>2058</v>
      </c>
      <c r="H16" s="8">
        <v>107</v>
      </c>
    </row>
    <row r="17" spans="1:9">
      <c r="E17" s="33"/>
    </row>
    <row r="18" spans="1:9">
      <c r="C18" s="11" t="s">
        <v>153</v>
      </c>
      <c r="D18" s="11"/>
      <c r="E18" s="33"/>
    </row>
    <row r="19" spans="1:9">
      <c r="A19" s="8">
        <v>108</v>
      </c>
      <c r="C19" t="s">
        <v>154</v>
      </c>
      <c r="E19" s="22">
        <v>-3364442063.7692308</v>
      </c>
      <c r="F19" t="s">
        <v>339</v>
      </c>
      <c r="G19" t="s">
        <v>340</v>
      </c>
      <c r="H19" s="8">
        <v>108</v>
      </c>
    </row>
    <row r="20" spans="1:9">
      <c r="A20" s="8">
        <v>109</v>
      </c>
      <c r="C20" t="s">
        <v>157</v>
      </c>
      <c r="E20" s="23">
        <v>-450164942.20070398</v>
      </c>
      <c r="F20" t="s">
        <v>341</v>
      </c>
      <c r="G20" t="s">
        <v>342</v>
      </c>
      <c r="H20" s="8">
        <v>109</v>
      </c>
    </row>
    <row r="21" spans="1:9">
      <c r="A21" s="8">
        <v>110</v>
      </c>
      <c r="C21" s="12" t="s">
        <v>159</v>
      </c>
      <c r="D21" s="12"/>
      <c r="E21" s="354">
        <v>-3814607005.9699349</v>
      </c>
      <c r="F21" t="s">
        <v>2059</v>
      </c>
      <c r="H21" s="8">
        <v>110</v>
      </c>
    </row>
    <row r="22" spans="1:9">
      <c r="E22" s="33"/>
    </row>
    <row r="23" spans="1:9">
      <c r="A23" s="8">
        <v>111</v>
      </c>
      <c r="B23" s="8" t="s">
        <v>160</v>
      </c>
      <c r="C23" s="14" t="s">
        <v>161</v>
      </c>
      <c r="D23" s="14"/>
      <c r="E23" s="32">
        <v>-1488412230.1796651</v>
      </c>
      <c r="F23" t="s">
        <v>343</v>
      </c>
      <c r="G23" t="s">
        <v>344</v>
      </c>
      <c r="H23" s="8">
        <v>111</v>
      </c>
      <c r="I23" t="s">
        <v>160</v>
      </c>
    </row>
    <row r="24" spans="1:9">
      <c r="A24" s="8">
        <v>111</v>
      </c>
      <c r="B24" s="8" t="s">
        <v>163</v>
      </c>
      <c r="C24" s="203" t="s">
        <v>164</v>
      </c>
      <c r="D24" s="14"/>
      <c r="E24" s="32">
        <v>-547222220.12686849</v>
      </c>
      <c r="F24" t="s">
        <v>345</v>
      </c>
      <c r="G24" t="s">
        <v>344</v>
      </c>
      <c r="H24" s="8">
        <v>111</v>
      </c>
      <c r="I24" t="s">
        <v>163</v>
      </c>
    </row>
    <row r="25" spans="1:9">
      <c r="A25" s="8">
        <v>111</v>
      </c>
      <c r="B25" s="8" t="s">
        <v>166</v>
      </c>
      <c r="C25" s="203" t="s">
        <v>167</v>
      </c>
      <c r="D25" s="14"/>
      <c r="E25" s="32">
        <v>-2035634450.3065336</v>
      </c>
      <c r="F25" t="s">
        <v>2060</v>
      </c>
      <c r="G25" t="s">
        <v>344</v>
      </c>
      <c r="H25" s="8">
        <v>111</v>
      </c>
      <c r="I25" t="s">
        <v>166</v>
      </c>
    </row>
    <row r="26" spans="1:9">
      <c r="A26" s="8">
        <v>112</v>
      </c>
      <c r="C26" s="12" t="s">
        <v>346</v>
      </c>
      <c r="D26" s="12"/>
      <c r="E26" s="32">
        <v>-163713376.0194256</v>
      </c>
      <c r="F26" t="s">
        <v>347</v>
      </c>
      <c r="G26" t="s">
        <v>342</v>
      </c>
      <c r="H26" s="8">
        <v>112</v>
      </c>
    </row>
    <row r="27" spans="1:9">
      <c r="A27" s="8">
        <v>113</v>
      </c>
      <c r="C27" s="12" t="s">
        <v>44</v>
      </c>
      <c r="D27" s="12"/>
      <c r="E27" s="32">
        <v>-96615214</v>
      </c>
      <c r="F27" t="s">
        <v>348</v>
      </c>
      <c r="G27" t="s">
        <v>335</v>
      </c>
      <c r="H27" s="8">
        <v>113</v>
      </c>
    </row>
    <row r="28" spans="1:9">
      <c r="A28" s="8">
        <v>114</v>
      </c>
      <c r="C28" s="12" t="s">
        <v>171</v>
      </c>
      <c r="D28" s="12"/>
      <c r="E28" s="22">
        <v>0</v>
      </c>
      <c r="F28" t="s">
        <v>349</v>
      </c>
      <c r="G28" t="s">
        <v>335</v>
      </c>
      <c r="H28" s="8">
        <v>114</v>
      </c>
    </row>
    <row r="29" spans="1:9">
      <c r="C29" s="12"/>
      <c r="D29" s="12"/>
      <c r="E29" s="22"/>
      <c r="H29" s="8"/>
    </row>
    <row r="30" spans="1:9">
      <c r="A30" s="8">
        <v>115</v>
      </c>
      <c r="C30" s="12" t="s">
        <v>173</v>
      </c>
      <c r="D30" s="12"/>
      <c r="E30" s="69">
        <v>9798017733.3468113</v>
      </c>
      <c r="F30" t="s">
        <v>2061</v>
      </c>
      <c r="H30" s="8">
        <v>115</v>
      </c>
    </row>
    <row r="31" spans="1:9">
      <c r="E31" s="17"/>
      <c r="H31" s="8"/>
    </row>
    <row r="32" spans="1:9">
      <c r="C32" s="53" t="s">
        <v>174</v>
      </c>
      <c r="D32" s="55"/>
      <c r="E32" s="55"/>
      <c r="F32" s="55"/>
      <c r="G32" s="55"/>
    </row>
    <row r="33" spans="1:8">
      <c r="C33" s="12" t="s">
        <v>350</v>
      </c>
    </row>
    <row r="34" spans="1:8">
      <c r="C34" s="835" t="s">
        <v>351</v>
      </c>
      <c r="D34" s="835"/>
      <c r="E34" s="835"/>
      <c r="F34" s="835"/>
      <c r="G34" s="835"/>
    </row>
    <row r="35" spans="1:8">
      <c r="C35" s="14"/>
    </row>
    <row r="36" spans="1:8">
      <c r="A36" s="13" t="s">
        <v>100</v>
      </c>
      <c r="B36" s="13"/>
      <c r="C36" s="13" t="s">
        <v>6</v>
      </c>
      <c r="E36" s="13" t="s">
        <v>134</v>
      </c>
      <c r="F36" s="13" t="s">
        <v>135</v>
      </c>
      <c r="G36" s="13" t="s">
        <v>136</v>
      </c>
      <c r="H36" s="13" t="s">
        <v>100</v>
      </c>
    </row>
    <row r="37" spans="1:8" ht="77.25" customHeight="1">
      <c r="A37" s="8">
        <v>200</v>
      </c>
      <c r="C37" t="s">
        <v>352</v>
      </c>
      <c r="E37" s="51">
        <v>0.1045</v>
      </c>
      <c r="F37" s="50" t="s">
        <v>353</v>
      </c>
      <c r="G37" s="45" t="s">
        <v>354</v>
      </c>
      <c r="H37" s="8">
        <v>200</v>
      </c>
    </row>
    <row r="38" spans="1:8">
      <c r="C38" s="14"/>
    </row>
    <row r="39" spans="1:8">
      <c r="C39" s="11" t="s">
        <v>204</v>
      </c>
      <c r="D39" s="11"/>
    </row>
    <row r="40" spans="1:8" ht="43.5">
      <c r="A40" s="8">
        <v>201</v>
      </c>
      <c r="C40" t="s">
        <v>205</v>
      </c>
      <c r="E40" s="29">
        <v>1.8592311354064698E-2</v>
      </c>
      <c r="F40" s="45" t="s">
        <v>355</v>
      </c>
      <c r="G40" t="s">
        <v>333</v>
      </c>
      <c r="H40" s="8">
        <v>201</v>
      </c>
    </row>
    <row r="41" spans="1:8">
      <c r="A41" s="8">
        <v>202</v>
      </c>
      <c r="C41" t="s">
        <v>206</v>
      </c>
      <c r="E41" s="29">
        <v>2.7605794758881429E-4</v>
      </c>
      <c r="F41" t="s">
        <v>1818</v>
      </c>
      <c r="H41" s="8">
        <v>202</v>
      </c>
    </row>
    <row r="42" spans="1:8">
      <c r="A42" s="8">
        <v>203</v>
      </c>
      <c r="C42" t="s">
        <v>207</v>
      </c>
      <c r="E42" s="412">
        <v>5.198875E-2</v>
      </c>
      <c r="F42" t="s">
        <v>2062</v>
      </c>
      <c r="H42" s="8">
        <v>203</v>
      </c>
    </row>
    <row r="43" spans="1:8">
      <c r="A43" s="8">
        <v>204</v>
      </c>
      <c r="C43" s="12" t="s">
        <v>208</v>
      </c>
      <c r="D43" s="12"/>
      <c r="E43" s="372">
        <v>7.0857119301653504E-2</v>
      </c>
      <c r="F43" s="6" t="s">
        <v>2063</v>
      </c>
      <c r="H43" s="8">
        <v>204</v>
      </c>
    </row>
    <row r="45" spans="1:8">
      <c r="A45" s="8">
        <v>205</v>
      </c>
      <c r="C45" s="12" t="s">
        <v>209</v>
      </c>
      <c r="D45" s="12"/>
      <c r="E45" s="372">
        <v>5.2264807947588816E-2</v>
      </c>
      <c r="F45" t="s">
        <v>2064</v>
      </c>
      <c r="G45" s="17"/>
      <c r="H45" s="8">
        <v>205</v>
      </c>
    </row>
    <row r="46" spans="1:8">
      <c r="A46" s="8">
        <v>206</v>
      </c>
      <c r="C46" s="12" t="s">
        <v>210</v>
      </c>
      <c r="D46" s="12"/>
      <c r="E46" s="372">
        <v>0</v>
      </c>
      <c r="F46" t="s">
        <v>2065</v>
      </c>
      <c r="G46" s="17"/>
      <c r="H46" s="8"/>
    </row>
    <row r="47" spans="1:8">
      <c r="H47" s="8"/>
    </row>
    <row r="48" spans="1:8">
      <c r="A48" s="8">
        <v>207</v>
      </c>
      <c r="C48" t="s">
        <v>211</v>
      </c>
      <c r="D48" s="12"/>
      <c r="E48" s="22">
        <v>694259311.45147169</v>
      </c>
      <c r="F48" t="s">
        <v>2066</v>
      </c>
      <c r="H48" s="8">
        <v>207</v>
      </c>
    </row>
    <row r="49" spans="1:8">
      <c r="A49" s="8">
        <v>208</v>
      </c>
      <c r="C49" t="s">
        <v>212</v>
      </c>
      <c r="D49" s="12"/>
      <c r="E49" s="32">
        <v>0</v>
      </c>
      <c r="F49" t="s">
        <v>2067</v>
      </c>
      <c r="H49" s="8"/>
    </row>
    <row r="50" spans="1:8">
      <c r="A50" s="8">
        <v>209</v>
      </c>
      <c r="C50" s="12" t="s">
        <v>213</v>
      </c>
      <c r="D50" s="12"/>
      <c r="E50" s="69">
        <v>694259311.45147169</v>
      </c>
      <c r="F50" t="s">
        <v>2068</v>
      </c>
      <c r="H50" s="8"/>
    </row>
    <row r="52" spans="1:8">
      <c r="C52" s="53" t="s">
        <v>356</v>
      </c>
      <c r="D52" s="55"/>
      <c r="E52" s="55"/>
      <c r="F52" s="55"/>
      <c r="G52" s="55"/>
    </row>
    <row r="53" spans="1:8">
      <c r="C53" s="12" t="s">
        <v>350</v>
      </c>
    </row>
    <row r="54" spans="1:8">
      <c r="C54" s="835" t="s">
        <v>357</v>
      </c>
      <c r="D54" s="835"/>
      <c r="E54" s="835"/>
      <c r="F54" s="835"/>
      <c r="G54" s="835"/>
    </row>
    <row r="55" spans="1:8">
      <c r="C55" s="14"/>
    </row>
    <row r="56" spans="1:8">
      <c r="A56" s="13" t="s">
        <v>100</v>
      </c>
      <c r="B56" s="13"/>
      <c r="C56" s="13" t="s">
        <v>6</v>
      </c>
      <c r="E56" s="13" t="s">
        <v>134</v>
      </c>
      <c r="F56" s="13" t="s">
        <v>135</v>
      </c>
      <c r="G56" s="13" t="s">
        <v>136</v>
      </c>
      <c r="H56" s="13" t="s">
        <v>100</v>
      </c>
    </row>
    <row r="57" spans="1:8">
      <c r="A57" s="8">
        <v>300</v>
      </c>
      <c r="C57" t="s">
        <v>239</v>
      </c>
      <c r="E57" s="31">
        <v>0.21</v>
      </c>
      <c r="F57" t="s">
        <v>358</v>
      </c>
      <c r="H57" s="8">
        <v>300</v>
      </c>
    </row>
    <row r="58" spans="1:8">
      <c r="A58" s="8">
        <v>301</v>
      </c>
      <c r="C58" t="s">
        <v>241</v>
      </c>
      <c r="E58" s="412">
        <v>8.8400000000000006E-2</v>
      </c>
      <c r="F58" t="s">
        <v>359</v>
      </c>
      <c r="H58" s="8">
        <v>301</v>
      </c>
    </row>
    <row r="59" spans="1:8">
      <c r="A59" s="8">
        <v>302</v>
      </c>
      <c r="C59" s="12" t="s">
        <v>243</v>
      </c>
      <c r="D59" s="12"/>
      <c r="E59" s="372">
        <v>0.27983599999999997</v>
      </c>
      <c r="F59" s="17" t="s">
        <v>2069</v>
      </c>
      <c r="H59" s="8">
        <v>302</v>
      </c>
    </row>
    <row r="61" spans="1:8">
      <c r="A61" s="8">
        <v>303</v>
      </c>
      <c r="C61" s="12" t="s">
        <v>255</v>
      </c>
      <c r="E61" s="24">
        <v>171577648.42165416</v>
      </c>
      <c r="F61" t="s">
        <v>2070</v>
      </c>
      <c r="H61" s="8">
        <v>303</v>
      </c>
    </row>
    <row r="63" spans="1:8">
      <c r="A63" s="8">
        <v>304</v>
      </c>
      <c r="C63" t="s">
        <v>360</v>
      </c>
      <c r="H63" s="8">
        <v>304</v>
      </c>
    </row>
    <row r="65" spans="1:8">
      <c r="C65" t="s">
        <v>257</v>
      </c>
    </row>
    <row r="66" spans="1:8">
      <c r="A66" s="8">
        <v>305</v>
      </c>
      <c r="C66" s="35" t="s">
        <v>258</v>
      </c>
      <c r="D66" s="35"/>
      <c r="E66" s="22">
        <v>9798017733.3468113</v>
      </c>
      <c r="F66" t="s">
        <v>2071</v>
      </c>
      <c r="G66" s="21"/>
      <c r="H66" s="8">
        <v>305</v>
      </c>
    </row>
    <row r="67" spans="1:8">
      <c r="A67" s="8">
        <v>306</v>
      </c>
      <c r="C67" s="18" t="s">
        <v>259</v>
      </c>
      <c r="D67" s="18"/>
      <c r="E67" s="31">
        <v>5.2264807947588816E-2</v>
      </c>
      <c r="F67" t="s">
        <v>2072</v>
      </c>
      <c r="H67" s="8">
        <v>306</v>
      </c>
    </row>
    <row r="68" spans="1:8">
      <c r="A68" s="8">
        <v>307</v>
      </c>
      <c r="C68" s="35" t="s">
        <v>260</v>
      </c>
      <c r="D68" s="35"/>
      <c r="E68" s="28">
        <v>0.27983599999999997</v>
      </c>
      <c r="F68" t="s">
        <v>2073</v>
      </c>
      <c r="H68" s="8">
        <v>307</v>
      </c>
    </row>
    <row r="69" spans="1:8">
      <c r="A69" s="8">
        <v>308</v>
      </c>
      <c r="C69" s="35" t="s">
        <v>261</v>
      </c>
      <c r="D69" s="35"/>
      <c r="E69" s="22">
        <v>-23198253.921061806</v>
      </c>
      <c r="F69" t="s">
        <v>2074</v>
      </c>
      <c r="H69" s="8">
        <v>308</v>
      </c>
    </row>
    <row r="70" spans="1:8">
      <c r="A70" s="8">
        <v>309</v>
      </c>
      <c r="C70" s="35" t="s">
        <v>262</v>
      </c>
      <c r="D70" s="35"/>
      <c r="E70" s="22">
        <v>12366737.300944462</v>
      </c>
      <c r="F70" t="s">
        <v>2075</v>
      </c>
      <c r="H70" s="8">
        <v>309</v>
      </c>
    </row>
    <row r="71" spans="1:8">
      <c r="A71" s="8">
        <v>310</v>
      </c>
      <c r="C71" s="35" t="s">
        <v>361</v>
      </c>
      <c r="D71" s="35"/>
      <c r="E71" s="32">
        <v>0</v>
      </c>
      <c r="F71" t="s">
        <v>2076</v>
      </c>
      <c r="H71" s="8"/>
    </row>
    <row r="73" spans="1:8">
      <c r="C73" s="53" t="s">
        <v>362</v>
      </c>
      <c r="D73" s="55"/>
      <c r="E73" s="55"/>
      <c r="F73" s="55"/>
      <c r="G73" s="55"/>
    </row>
    <row r="74" spans="1:8">
      <c r="C74" s="12" t="s">
        <v>350</v>
      </c>
    </row>
    <row r="75" spans="1:8">
      <c r="C75" s="834" t="s">
        <v>2077</v>
      </c>
      <c r="D75" s="834"/>
      <c r="E75" s="834"/>
      <c r="F75" s="834"/>
      <c r="G75" s="834"/>
    </row>
    <row r="76" spans="1:8">
      <c r="C76" s="834"/>
      <c r="D76" s="834"/>
      <c r="E76" s="834"/>
      <c r="F76" s="834"/>
      <c r="G76" s="834"/>
    </row>
    <row r="77" spans="1:8">
      <c r="C77" s="6"/>
    </row>
    <row r="78" spans="1:8">
      <c r="A78" s="13" t="s">
        <v>100</v>
      </c>
      <c r="B78" s="13"/>
      <c r="C78" s="13" t="s">
        <v>6</v>
      </c>
      <c r="E78" s="13" t="s">
        <v>134</v>
      </c>
      <c r="F78" s="13" t="s">
        <v>135</v>
      </c>
      <c r="G78" s="13" t="s">
        <v>136</v>
      </c>
      <c r="H78" s="13" t="s">
        <v>100</v>
      </c>
    </row>
    <row r="79" spans="1:8">
      <c r="C79" s="11" t="s">
        <v>265</v>
      </c>
      <c r="D79" s="11"/>
    </row>
    <row r="80" spans="1:8">
      <c r="A80" s="8">
        <v>400</v>
      </c>
      <c r="C80" t="s">
        <v>266</v>
      </c>
      <c r="E80" s="22">
        <v>648895032.04825652</v>
      </c>
      <c r="F80" t="s">
        <v>2078</v>
      </c>
      <c r="H80" s="8">
        <v>400</v>
      </c>
    </row>
    <row r="81" spans="1:8">
      <c r="A81" s="8">
        <v>401</v>
      </c>
      <c r="C81" t="s">
        <v>268</v>
      </c>
      <c r="E81" s="22">
        <v>400409889.77531981</v>
      </c>
      <c r="F81" t="s">
        <v>2079</v>
      </c>
      <c r="H81" s="8">
        <v>401</v>
      </c>
    </row>
    <row r="82" spans="1:8">
      <c r="A82" s="8">
        <v>402</v>
      </c>
      <c r="C82" t="s">
        <v>270</v>
      </c>
      <c r="E82" s="22">
        <v>7472552.4640722312</v>
      </c>
      <c r="F82" t="s">
        <v>2080</v>
      </c>
      <c r="H82" s="8">
        <v>402</v>
      </c>
    </row>
    <row r="83" spans="1:8">
      <c r="A83" s="8">
        <v>403</v>
      </c>
      <c r="C83" t="s">
        <v>272</v>
      </c>
      <c r="E83" s="22">
        <v>497742978.89928067</v>
      </c>
      <c r="F83" t="s">
        <v>2081</v>
      </c>
      <c r="H83" s="8">
        <v>403</v>
      </c>
    </row>
    <row r="84" spans="1:8">
      <c r="A84" s="8">
        <v>404</v>
      </c>
      <c r="C84" t="s">
        <v>276</v>
      </c>
      <c r="E84" s="22">
        <v>0</v>
      </c>
      <c r="F84" t="s">
        <v>277</v>
      </c>
      <c r="H84" s="8">
        <v>404</v>
      </c>
    </row>
    <row r="85" spans="1:8">
      <c r="A85" s="8">
        <v>405</v>
      </c>
      <c r="C85" t="s">
        <v>278</v>
      </c>
      <c r="E85" s="22">
        <v>694259311.45147169</v>
      </c>
      <c r="F85" t="s">
        <v>2082</v>
      </c>
      <c r="H85" s="8">
        <v>405</v>
      </c>
    </row>
    <row r="86" spans="1:8">
      <c r="A86" s="8">
        <v>406</v>
      </c>
      <c r="C86" t="s">
        <v>279</v>
      </c>
      <c r="E86" s="22">
        <v>136508486.6180096</v>
      </c>
      <c r="F86" t="s">
        <v>2083</v>
      </c>
      <c r="H86" s="8">
        <v>406</v>
      </c>
    </row>
    <row r="87" spans="1:8">
      <c r="A87" s="8">
        <v>407</v>
      </c>
      <c r="C87" t="s">
        <v>280</v>
      </c>
      <c r="E87" s="22">
        <v>171577648.42165416</v>
      </c>
      <c r="F87" t="s">
        <v>2084</v>
      </c>
      <c r="H87" s="8">
        <v>407</v>
      </c>
    </row>
    <row r="88" spans="1:8">
      <c r="A88" s="8">
        <v>408</v>
      </c>
      <c r="C88" t="s">
        <v>55</v>
      </c>
      <c r="E88" s="22">
        <v>-17464775</v>
      </c>
      <c r="F88" t="s">
        <v>2085</v>
      </c>
      <c r="G88" t="s">
        <v>282</v>
      </c>
      <c r="H88" s="8">
        <v>408</v>
      </c>
    </row>
    <row r="89" spans="1:8">
      <c r="A89" s="8">
        <v>409</v>
      </c>
      <c r="C89" t="s">
        <v>283</v>
      </c>
      <c r="E89" s="22">
        <v>-17690454.906901166</v>
      </c>
      <c r="F89" t="s">
        <v>2086</v>
      </c>
      <c r="G89" t="s">
        <v>282</v>
      </c>
      <c r="H89" s="8">
        <v>409</v>
      </c>
    </row>
    <row r="90" spans="1:8">
      <c r="A90" s="8">
        <v>410</v>
      </c>
      <c r="C90" t="s">
        <v>285</v>
      </c>
      <c r="E90" s="23">
        <v>0</v>
      </c>
      <c r="F90" t="s">
        <v>2087</v>
      </c>
      <c r="H90" s="8">
        <v>410</v>
      </c>
    </row>
    <row r="91" spans="1:8">
      <c r="A91" s="8">
        <v>411</v>
      </c>
      <c r="C91" s="12" t="s">
        <v>288</v>
      </c>
      <c r="D91" s="12"/>
      <c r="E91" s="24">
        <v>2521710669.7711635</v>
      </c>
      <c r="F91" t="s">
        <v>2088</v>
      </c>
      <c r="H91" s="8">
        <v>411</v>
      </c>
    </row>
    <row r="92" spans="1:8">
      <c r="H92" s="8"/>
    </row>
    <row r="93" spans="1:8">
      <c r="C93" s="11" t="s">
        <v>289</v>
      </c>
      <c r="D93" s="11"/>
    </row>
    <row r="94" spans="1:8">
      <c r="A94" s="8">
        <v>412</v>
      </c>
      <c r="C94" t="s">
        <v>290</v>
      </c>
      <c r="E94" s="19">
        <v>7.5170000000000011E-3</v>
      </c>
      <c r="F94" t="s">
        <v>2089</v>
      </c>
      <c r="H94" s="8">
        <v>412</v>
      </c>
    </row>
    <row r="95" spans="1:8">
      <c r="A95" s="8">
        <v>413</v>
      </c>
      <c r="C95" t="s">
        <v>292</v>
      </c>
      <c r="D95" s="12"/>
      <c r="E95" s="42">
        <v>2.7300000000000002E-4</v>
      </c>
      <c r="F95" t="s">
        <v>2090</v>
      </c>
      <c r="H95" s="8">
        <v>413</v>
      </c>
    </row>
    <row r="96" spans="1:8">
      <c r="A96" s="8">
        <v>414</v>
      </c>
      <c r="C96" s="12" t="s">
        <v>294</v>
      </c>
      <c r="D96" s="12"/>
      <c r="E96" s="24">
        <v>19644126.117517367</v>
      </c>
      <c r="F96" s="17" t="s">
        <v>2091</v>
      </c>
      <c r="H96" s="8">
        <v>414</v>
      </c>
    </row>
    <row r="97" spans="1:8">
      <c r="C97" s="12"/>
      <c r="D97" s="12"/>
      <c r="E97" s="22"/>
      <c r="H97" s="8"/>
    </row>
    <row r="98" spans="1:8">
      <c r="A98" s="8">
        <v>415</v>
      </c>
      <c r="C98" s="12" t="s">
        <v>363</v>
      </c>
      <c r="D98" s="12"/>
      <c r="E98" s="24">
        <v>2541354795.8886809</v>
      </c>
      <c r="F98" t="s">
        <v>2092</v>
      </c>
      <c r="H98" s="8">
        <v>415</v>
      </c>
    </row>
    <row r="99" spans="1:8">
      <c r="C99" s="12"/>
      <c r="D99" s="12"/>
      <c r="E99" s="22"/>
      <c r="H99" s="8"/>
    </row>
    <row r="100" spans="1:8">
      <c r="C100" s="11" t="s">
        <v>14</v>
      </c>
      <c r="D100" s="12"/>
      <c r="E100" s="22"/>
      <c r="H100" s="8"/>
    </row>
    <row r="101" spans="1:8">
      <c r="A101" s="8">
        <v>416</v>
      </c>
      <c r="C101" t="s">
        <v>364</v>
      </c>
      <c r="E101" s="52">
        <v>-40890095</v>
      </c>
      <c r="F101" s="50" t="s">
        <v>365</v>
      </c>
      <c r="H101" s="8">
        <v>416</v>
      </c>
    </row>
    <row r="102" spans="1:8">
      <c r="E102" s="33"/>
      <c r="H102" s="8"/>
    </row>
    <row r="103" spans="1:8">
      <c r="A103" s="8">
        <v>417</v>
      </c>
      <c r="C103" s="12" t="s">
        <v>366</v>
      </c>
      <c r="E103" s="24">
        <v>2500464700.8886809</v>
      </c>
      <c r="F103" t="s">
        <v>2093</v>
      </c>
      <c r="H103" s="8">
        <v>417</v>
      </c>
    </row>
    <row r="104" spans="1:8">
      <c r="C104" s="12"/>
      <c r="D104" s="12"/>
      <c r="E104" s="22"/>
      <c r="H104" s="8"/>
    </row>
    <row r="105" spans="1:8">
      <c r="C105" s="11" t="s">
        <v>367</v>
      </c>
      <c r="D105" s="12"/>
      <c r="E105" s="22"/>
      <c r="H105" s="8"/>
    </row>
    <row r="106" spans="1:8">
      <c r="A106" s="8">
        <v>418</v>
      </c>
      <c r="C106" t="s">
        <v>300</v>
      </c>
      <c r="D106" s="12"/>
      <c r="E106" s="19">
        <v>2.9529999999999999E-3</v>
      </c>
      <c r="F106" t="s">
        <v>2094</v>
      </c>
      <c r="H106" s="8">
        <v>418</v>
      </c>
    </row>
    <row r="107" spans="1:8">
      <c r="A107" s="8">
        <v>419</v>
      </c>
      <c r="C107" t="s">
        <v>302</v>
      </c>
      <c r="E107" s="22">
        <v>7383872.2617242746</v>
      </c>
      <c r="F107" s="17" t="s">
        <v>2095</v>
      </c>
      <c r="H107" s="8">
        <v>419</v>
      </c>
    </row>
    <row r="108" spans="1:8">
      <c r="A108" s="8">
        <v>420</v>
      </c>
      <c r="C108" t="s">
        <v>303</v>
      </c>
      <c r="E108" s="22">
        <v>4740417.7727485662</v>
      </c>
      <c r="F108" t="s">
        <v>368</v>
      </c>
      <c r="H108" s="8">
        <v>420</v>
      </c>
    </row>
    <row r="109" spans="1:8">
      <c r="H109" s="8"/>
    </row>
    <row r="110" spans="1:8">
      <c r="A110" s="8">
        <v>421</v>
      </c>
      <c r="C110" s="12" t="s">
        <v>12</v>
      </c>
      <c r="D110" s="12"/>
      <c r="E110" s="24">
        <v>2512588990.9231539</v>
      </c>
      <c r="F110" t="s">
        <v>2096</v>
      </c>
      <c r="H110" s="8">
        <v>421</v>
      </c>
    </row>
    <row r="111" spans="1:8">
      <c r="H111" s="8"/>
    </row>
    <row r="112" spans="1:8">
      <c r="C112" s="16"/>
    </row>
    <row r="113" spans="5:5">
      <c r="E113" s="43"/>
    </row>
    <row r="115" spans="5:5">
      <c r="E115" s="38"/>
    </row>
    <row r="144" spans="11:11">
      <c r="K144" t="e">
        <f>E30/E144*E151</f>
        <v>#DIV/0!</v>
      </c>
    </row>
    <row r="160" spans="10:10">
      <c r="J160">
        <f>E160-D160</f>
        <v>0</v>
      </c>
    </row>
  </sheetData>
  <mergeCells count="3">
    <mergeCell ref="C34:G34"/>
    <mergeCell ref="C54:G54"/>
    <mergeCell ref="C75:G76"/>
  </mergeCells>
  <printOptions horizontalCentered="1"/>
  <pageMargins left="1" right="1" top="1" bottom="1" header="0.5" footer="0.5"/>
  <pageSetup scale="65"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rowBreaks count="1" manualBreakCount="1">
    <brk id="7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92D050"/>
    <pageSetUpPr fitToPage="1"/>
  </sheetPr>
  <dimension ref="A1:P160"/>
  <sheetViews>
    <sheetView tabSelected="1" view="pageBreakPreview" topLeftCell="A109" zoomScale="85" zoomScaleSheetLayoutView="85" zoomScalePageLayoutView="70" workbookViewId="0">
      <selection activeCell="E174" sqref="E174"/>
    </sheetView>
  </sheetViews>
  <sheetFormatPr defaultColWidth="9.1796875" defaultRowHeight="14.5"/>
  <cols>
    <col min="1" max="1" width="4.7265625" bestFit="1" customWidth="1"/>
    <col min="2" max="2" width="15.54296875" customWidth="1"/>
    <col min="3" max="3" width="15.453125" customWidth="1"/>
    <col min="4" max="4" width="17.26953125" customWidth="1"/>
    <col min="5" max="5" width="19.7265625" customWidth="1"/>
    <col min="6" max="6" width="18.54296875" bestFit="1" customWidth="1"/>
    <col min="7" max="7" width="18.54296875" customWidth="1"/>
    <col min="8" max="8" width="16.81640625" customWidth="1"/>
    <col min="9" max="9" width="15.453125" customWidth="1"/>
    <col min="10" max="10" width="13.453125" customWidth="1"/>
    <col min="11" max="11" width="25.1796875" customWidth="1"/>
    <col min="12" max="12" width="4.7265625" bestFit="1" customWidth="1"/>
    <col min="13" max="13" width="9.1796875" customWidth="1"/>
    <col min="14" max="14" width="15" bestFit="1" customWidth="1"/>
    <col min="15" max="15" width="11.54296875" bestFit="1" customWidth="1"/>
    <col min="16" max="16" width="81.26953125" bestFit="1" customWidth="1"/>
  </cols>
  <sheetData>
    <row r="1" spans="1:12">
      <c r="B1" s="12" t="s">
        <v>14</v>
      </c>
      <c r="K1" s="15" t="str">
        <f>CONCATENATE("Rate Year: ",'1-BaseTRR'!$G$1)</f>
        <v>Rate Year: 2023</v>
      </c>
    </row>
    <row r="2" spans="1:12">
      <c r="B2" s="47" t="s">
        <v>131</v>
      </c>
      <c r="K2" s="15" t="str">
        <f>CONCATENATE("Prior Year: ",'1-BaseTRR'!$G$2)</f>
        <v>Prior Year: 2021</v>
      </c>
    </row>
    <row r="4" spans="1:12">
      <c r="B4" s="58" t="s">
        <v>369</v>
      </c>
      <c r="C4" s="55"/>
      <c r="D4" s="55"/>
      <c r="E4" s="55"/>
      <c r="F4" s="55"/>
      <c r="G4" s="55"/>
      <c r="H4" s="55"/>
      <c r="I4" s="55"/>
      <c r="J4" s="55"/>
      <c r="K4" s="55"/>
    </row>
    <row r="5" spans="1:12">
      <c r="B5" s="16" t="s">
        <v>350</v>
      </c>
    </row>
    <row r="6" spans="1:12">
      <c r="B6" s="835" t="s">
        <v>370</v>
      </c>
      <c r="C6" s="835"/>
      <c r="D6" s="835"/>
      <c r="E6" s="835"/>
      <c r="F6" s="835"/>
      <c r="G6" s="835"/>
      <c r="H6" s="835"/>
      <c r="I6" s="835"/>
      <c r="J6" s="835"/>
      <c r="K6" s="835"/>
    </row>
    <row r="7" spans="1:12">
      <c r="B7" s="835" t="str">
        <f>"2) Input the Total Sales from the Prior Year FERC Form 1 on Line "&amp;A27&amp;".  The total on Line "&amp;A25&amp;", col 8, should match the total on Line "&amp;A27&amp;". "</f>
        <v xml:space="preserve">2) Input the Total Sales from the Prior Year FERC Form 1 on Line 113.  The total on Line 112, col 8, should match the total on Line 113. </v>
      </c>
      <c r="C7" s="835"/>
      <c r="D7" s="835"/>
      <c r="E7" s="835"/>
      <c r="F7" s="835"/>
      <c r="G7" s="835"/>
      <c r="H7" s="835"/>
      <c r="I7" s="835"/>
      <c r="J7" s="835"/>
      <c r="K7" s="835"/>
    </row>
    <row r="8" spans="1:12">
      <c r="B8" s="45"/>
      <c r="C8" s="45"/>
      <c r="D8" s="45"/>
      <c r="E8" s="45"/>
      <c r="F8" s="45"/>
      <c r="G8" s="45"/>
      <c r="H8" s="45"/>
      <c r="I8" s="45"/>
      <c r="J8" s="45"/>
      <c r="K8" s="45"/>
    </row>
    <row r="9" spans="1:12">
      <c r="B9" s="12"/>
      <c r="C9" s="13" t="s">
        <v>371</v>
      </c>
      <c r="D9" s="13" t="s">
        <v>372</v>
      </c>
      <c r="E9" s="13" t="s">
        <v>373</v>
      </c>
      <c r="F9" s="13" t="s">
        <v>374</v>
      </c>
      <c r="G9" s="13" t="s">
        <v>375</v>
      </c>
      <c r="H9" s="13" t="s">
        <v>376</v>
      </c>
      <c r="I9" s="13" t="s">
        <v>377</v>
      </c>
      <c r="J9" s="13" t="s">
        <v>378</v>
      </c>
    </row>
    <row r="10" spans="1:12">
      <c r="B10" s="12"/>
      <c r="C10" s="30" t="s">
        <v>111</v>
      </c>
      <c r="D10" s="30" t="s">
        <v>203</v>
      </c>
      <c r="E10" s="8"/>
      <c r="F10" s="8"/>
      <c r="G10" s="8"/>
      <c r="H10" s="8"/>
      <c r="I10" s="8"/>
      <c r="J10" s="30" t="s">
        <v>379</v>
      </c>
    </row>
    <row r="11" spans="1:12">
      <c r="B11" s="12"/>
      <c r="C11" s="8" t="s">
        <v>380</v>
      </c>
      <c r="D11" s="8" t="s">
        <v>381</v>
      </c>
      <c r="E11" s="8"/>
      <c r="F11" s="8"/>
      <c r="G11" s="8" t="s">
        <v>382</v>
      </c>
      <c r="H11" s="8" t="s">
        <v>383</v>
      </c>
      <c r="I11" s="8"/>
      <c r="J11" s="30"/>
    </row>
    <row r="12" spans="1:12">
      <c r="A12" s="13" t="s">
        <v>100</v>
      </c>
      <c r="B12" s="13" t="s">
        <v>384</v>
      </c>
      <c r="C12" s="13" t="s">
        <v>385</v>
      </c>
      <c r="D12" s="13" t="s">
        <v>385</v>
      </c>
      <c r="E12" s="13" t="s">
        <v>386</v>
      </c>
      <c r="F12" s="13" t="s">
        <v>387</v>
      </c>
      <c r="G12" s="13" t="s">
        <v>388</v>
      </c>
      <c r="H12" s="13" t="s">
        <v>389</v>
      </c>
      <c r="I12" s="13" t="s">
        <v>381</v>
      </c>
      <c r="J12" s="13" t="s">
        <v>390</v>
      </c>
      <c r="K12" s="13"/>
      <c r="L12" s="13" t="str">
        <f t="shared" ref="L12:L25" si="0">A12</f>
        <v>Line</v>
      </c>
    </row>
    <row r="13" spans="1:12">
      <c r="A13" s="8">
        <v>100</v>
      </c>
      <c r="B13" t="s">
        <v>391</v>
      </c>
      <c r="C13" s="52">
        <v>173865554</v>
      </c>
      <c r="D13" s="52">
        <v>17219651</v>
      </c>
      <c r="E13" s="52">
        <v>314506918</v>
      </c>
      <c r="F13" s="52">
        <v>385230765</v>
      </c>
      <c r="G13" s="52">
        <v>73457943</v>
      </c>
      <c r="H13" s="52">
        <v>6075472</v>
      </c>
      <c r="I13" s="52">
        <v>37771741</v>
      </c>
      <c r="J13" s="22">
        <f t="shared" ref="J13:J24" si="1">SUM(C13:I13)</f>
        <v>1008128044</v>
      </c>
      <c r="K13" s="36"/>
      <c r="L13" s="8">
        <f t="shared" si="0"/>
        <v>100</v>
      </c>
    </row>
    <row r="14" spans="1:12">
      <c r="A14" s="8">
        <f>A13+1</f>
        <v>101</v>
      </c>
      <c r="B14" t="s">
        <v>392</v>
      </c>
      <c r="C14" s="52">
        <v>155765406</v>
      </c>
      <c r="D14" s="52">
        <v>16238553</v>
      </c>
      <c r="E14" s="52">
        <v>287361328</v>
      </c>
      <c r="F14" s="52">
        <v>333501126</v>
      </c>
      <c r="G14" s="52">
        <v>68208389</v>
      </c>
      <c r="H14" s="52">
        <v>5087726</v>
      </c>
      <c r="I14" s="52">
        <v>33233336</v>
      </c>
      <c r="J14" s="22">
        <f t="shared" si="1"/>
        <v>899395864</v>
      </c>
      <c r="K14" s="36"/>
      <c r="L14" s="8">
        <f t="shared" si="0"/>
        <v>101</v>
      </c>
    </row>
    <row r="15" spans="1:12">
      <c r="A15" s="8">
        <f t="shared" ref="A15:A25" si="2">A14+1</f>
        <v>102</v>
      </c>
      <c r="B15" t="s">
        <v>393</v>
      </c>
      <c r="C15" s="52">
        <v>181654753</v>
      </c>
      <c r="D15" s="52">
        <v>5743073</v>
      </c>
      <c r="E15" s="52">
        <v>354089630.20999998</v>
      </c>
      <c r="F15" s="52">
        <v>403418891.94999999</v>
      </c>
      <c r="G15" s="52">
        <v>84763010.540000007</v>
      </c>
      <c r="H15" s="52">
        <v>6036262</v>
      </c>
      <c r="I15" s="52">
        <v>39820390.300000004</v>
      </c>
      <c r="J15" s="22">
        <f t="shared" si="1"/>
        <v>1075526011</v>
      </c>
      <c r="K15" s="36"/>
      <c r="L15" s="8">
        <f t="shared" si="0"/>
        <v>102</v>
      </c>
    </row>
    <row r="16" spans="1:12">
      <c r="A16" s="8">
        <f t="shared" si="2"/>
        <v>103</v>
      </c>
      <c r="B16" t="s">
        <v>394</v>
      </c>
      <c r="C16" s="52">
        <v>148368721</v>
      </c>
      <c r="D16" s="52">
        <v>-11993377</v>
      </c>
      <c r="E16" s="52">
        <v>261656237</v>
      </c>
      <c r="F16" s="52">
        <v>391310015</v>
      </c>
      <c r="G16" s="52">
        <v>86042877</v>
      </c>
      <c r="H16" s="52">
        <v>5837433</v>
      </c>
      <c r="I16" s="52">
        <v>38699356</v>
      </c>
      <c r="J16" s="22">
        <f t="shared" si="1"/>
        <v>919921262</v>
      </c>
      <c r="K16" s="36"/>
      <c r="L16" s="8">
        <f t="shared" si="0"/>
        <v>103</v>
      </c>
    </row>
    <row r="17" spans="1:12">
      <c r="A17" s="8">
        <f t="shared" si="2"/>
        <v>104</v>
      </c>
      <c r="B17" t="s">
        <v>395</v>
      </c>
      <c r="C17" s="52">
        <v>170683066</v>
      </c>
      <c r="D17" s="52">
        <v>-12775036</v>
      </c>
      <c r="E17" s="52">
        <v>350384740</v>
      </c>
      <c r="F17" s="52">
        <v>389759964</v>
      </c>
      <c r="G17" s="52">
        <v>84375718</v>
      </c>
      <c r="H17" s="52">
        <v>5697613</v>
      </c>
      <c r="I17" s="52">
        <v>37910001</v>
      </c>
      <c r="J17" s="22">
        <f t="shared" si="1"/>
        <v>1026036066</v>
      </c>
      <c r="K17" s="36"/>
      <c r="L17" s="8">
        <f t="shared" si="0"/>
        <v>104</v>
      </c>
    </row>
    <row r="18" spans="1:12">
      <c r="A18" s="8">
        <f t="shared" si="2"/>
        <v>105</v>
      </c>
      <c r="B18" t="s">
        <v>396</v>
      </c>
      <c r="C18" s="52">
        <v>206749749</v>
      </c>
      <c r="D18" s="52">
        <v>-15738147</v>
      </c>
      <c r="E18" s="52">
        <v>479990416</v>
      </c>
      <c r="F18" s="52">
        <v>526785710</v>
      </c>
      <c r="G18" s="52">
        <v>102064160</v>
      </c>
      <c r="H18" s="52">
        <v>6910820</v>
      </c>
      <c r="I18" s="52">
        <v>45724586</v>
      </c>
      <c r="J18" s="22">
        <f t="shared" si="1"/>
        <v>1352487294</v>
      </c>
      <c r="K18" s="36"/>
      <c r="L18" s="8">
        <f t="shared" si="0"/>
        <v>105</v>
      </c>
    </row>
    <row r="19" spans="1:12">
      <c r="A19" s="8">
        <f t="shared" si="2"/>
        <v>106</v>
      </c>
      <c r="B19" t="s">
        <v>397</v>
      </c>
      <c r="C19" s="52">
        <v>222331409</v>
      </c>
      <c r="D19" s="52">
        <v>-16273762</v>
      </c>
      <c r="E19" s="52">
        <v>574441410</v>
      </c>
      <c r="F19" s="52">
        <v>619674700.99999988</v>
      </c>
      <c r="G19" s="52">
        <v>109464427</v>
      </c>
      <c r="H19" s="52">
        <v>7543146</v>
      </c>
      <c r="I19" s="52">
        <v>49025046</v>
      </c>
      <c r="J19" s="22">
        <f t="shared" si="1"/>
        <v>1566206377</v>
      </c>
      <c r="K19" s="36"/>
      <c r="L19" s="8">
        <f t="shared" si="0"/>
        <v>106</v>
      </c>
    </row>
    <row r="20" spans="1:12">
      <c r="A20" s="8">
        <f t="shared" si="2"/>
        <v>107</v>
      </c>
      <c r="B20" t="s">
        <v>398</v>
      </c>
      <c r="C20" s="52">
        <v>229108231</v>
      </c>
      <c r="D20" s="52">
        <v>-17904227</v>
      </c>
      <c r="E20" s="52">
        <v>603692693</v>
      </c>
      <c r="F20" s="52">
        <v>642285468.00000012</v>
      </c>
      <c r="G20" s="52">
        <v>112019936</v>
      </c>
      <c r="H20" s="52">
        <v>7646100</v>
      </c>
      <c r="I20" s="52">
        <v>49693810</v>
      </c>
      <c r="J20" s="22">
        <f t="shared" si="1"/>
        <v>1626542011</v>
      </c>
      <c r="K20" s="36"/>
      <c r="L20" s="8">
        <f t="shared" si="0"/>
        <v>107</v>
      </c>
    </row>
    <row r="21" spans="1:12">
      <c r="A21" s="8">
        <f t="shared" si="2"/>
        <v>108</v>
      </c>
      <c r="B21" t="s">
        <v>399</v>
      </c>
      <c r="C21" s="52">
        <v>213467464</v>
      </c>
      <c r="D21" s="52">
        <v>-16626098</v>
      </c>
      <c r="E21" s="52">
        <v>560572164</v>
      </c>
      <c r="F21" s="52">
        <v>587722929</v>
      </c>
      <c r="G21" s="52">
        <v>104295334</v>
      </c>
      <c r="H21" s="52">
        <v>7092825</v>
      </c>
      <c r="I21" s="52">
        <v>46327718</v>
      </c>
      <c r="J21" s="22">
        <f t="shared" si="1"/>
        <v>1502852336</v>
      </c>
      <c r="K21" s="36"/>
      <c r="L21" s="8">
        <f t="shared" si="0"/>
        <v>108</v>
      </c>
    </row>
    <row r="22" spans="1:12">
      <c r="A22" s="8">
        <f t="shared" si="2"/>
        <v>109</v>
      </c>
      <c r="B22" t="s">
        <v>400</v>
      </c>
      <c r="C22" s="52">
        <v>185755778</v>
      </c>
      <c r="D22" s="52">
        <v>-14439866</v>
      </c>
      <c r="E22" s="52">
        <v>368441866</v>
      </c>
      <c r="F22" s="52">
        <v>477538375</v>
      </c>
      <c r="G22" s="52">
        <v>92197350</v>
      </c>
      <c r="H22" s="52">
        <v>6208965</v>
      </c>
      <c r="I22" s="52">
        <v>41161440</v>
      </c>
      <c r="J22" s="22">
        <f t="shared" si="1"/>
        <v>1156863908</v>
      </c>
      <c r="K22" s="36"/>
      <c r="L22" s="8">
        <f t="shared" si="0"/>
        <v>109</v>
      </c>
    </row>
    <row r="23" spans="1:12">
      <c r="A23" s="8">
        <f t="shared" si="2"/>
        <v>110</v>
      </c>
      <c r="B23" t="s">
        <v>401</v>
      </c>
      <c r="C23" s="52">
        <v>164303834</v>
      </c>
      <c r="D23" s="52">
        <v>-13088561</v>
      </c>
      <c r="E23" s="52">
        <v>346609335</v>
      </c>
      <c r="F23" s="52">
        <v>386369633</v>
      </c>
      <c r="G23" s="52">
        <v>83158963</v>
      </c>
      <c r="H23" s="52">
        <v>5561053</v>
      </c>
      <c r="I23" s="52">
        <v>37273880</v>
      </c>
      <c r="J23" s="22">
        <f t="shared" si="1"/>
        <v>1010188137</v>
      </c>
      <c r="K23" s="36"/>
      <c r="L23" s="8">
        <f t="shared" si="0"/>
        <v>110</v>
      </c>
    </row>
    <row r="24" spans="1:12">
      <c r="A24" s="8">
        <f t="shared" si="2"/>
        <v>111</v>
      </c>
      <c r="B24" t="s">
        <v>402</v>
      </c>
      <c r="C24" s="52">
        <v>192160386</v>
      </c>
      <c r="D24" s="52">
        <v>-15091043.460000001</v>
      </c>
      <c r="E24" s="52">
        <v>402899601.89999998</v>
      </c>
      <c r="F24" s="52">
        <v>437026120.41000015</v>
      </c>
      <c r="G24" s="52">
        <v>95120241.270000011</v>
      </c>
      <c r="H24" s="52">
        <v>6393656</v>
      </c>
      <c r="I24" s="52">
        <v>44851157.899999999</v>
      </c>
      <c r="J24" s="22">
        <f t="shared" si="1"/>
        <v>1163360120.0200002</v>
      </c>
      <c r="K24" s="36"/>
      <c r="L24" s="8">
        <f t="shared" si="0"/>
        <v>111</v>
      </c>
    </row>
    <row r="25" spans="1:12">
      <c r="A25" s="8">
        <f t="shared" si="2"/>
        <v>112</v>
      </c>
      <c r="B25" t="s">
        <v>403</v>
      </c>
      <c r="C25" s="24">
        <f>SUM(C13:C24)</f>
        <v>2244214351</v>
      </c>
      <c r="D25" s="24">
        <f t="shared" ref="D25:J25" si="3">SUM(D13:D24)</f>
        <v>-94728840.460000008</v>
      </c>
      <c r="E25" s="24">
        <f t="shared" si="3"/>
        <v>4904646339.1099997</v>
      </c>
      <c r="F25" s="24">
        <f t="shared" si="3"/>
        <v>5580623698.3599997</v>
      </c>
      <c r="G25" s="24">
        <f t="shared" si="3"/>
        <v>1095168348.8099999</v>
      </c>
      <c r="H25" s="24">
        <f t="shared" si="3"/>
        <v>76091071</v>
      </c>
      <c r="I25" s="24">
        <f t="shared" si="3"/>
        <v>501492462.19999999</v>
      </c>
      <c r="J25" s="24">
        <f t="shared" si="3"/>
        <v>14307507430.02</v>
      </c>
      <c r="K25" s="36"/>
      <c r="L25" s="8">
        <f t="shared" si="0"/>
        <v>112</v>
      </c>
    </row>
    <row r="26" spans="1:12">
      <c r="A26" s="8"/>
      <c r="L26" s="8"/>
    </row>
    <row r="27" spans="1:12">
      <c r="A27" s="8">
        <f>A25+1</f>
        <v>113</v>
      </c>
      <c r="I27" s="15" t="s">
        <v>404</v>
      </c>
      <c r="J27" s="52">
        <v>14307507431</v>
      </c>
      <c r="L27" s="8">
        <f>A27</f>
        <v>113</v>
      </c>
    </row>
    <row r="28" spans="1:12">
      <c r="L28" s="8"/>
    </row>
    <row r="29" spans="1:12">
      <c r="B29" s="58" t="s">
        <v>405</v>
      </c>
      <c r="C29" s="55"/>
      <c r="D29" s="55"/>
      <c r="E29" s="55"/>
      <c r="F29" s="55"/>
      <c r="G29" s="55"/>
      <c r="H29" s="55"/>
      <c r="I29" s="55"/>
      <c r="J29" s="55"/>
      <c r="K29" s="55"/>
    </row>
    <row r="30" spans="1:12">
      <c r="B30" s="16" t="s">
        <v>350</v>
      </c>
    </row>
    <row r="31" spans="1:12">
      <c r="B31" s="834" t="str">
        <f>"1) Input any corrections or adjustments from previous Annual Update Filings on Line "&amp;A44&amp;". Input the Corrected Principle in "&amp;G38&amp;" and the Accumulated Interest in "&amp;J38&amp;". A workpaper must accompany any correction or adjustment."</f>
        <v>1) Input any corrections or adjustments from previous Annual Update Filings on Line 201. Input the Corrected Principle in Col 5 and the Accumulated Interest in Col 8. A workpaper must accompany any correction or adjustment.</v>
      </c>
      <c r="C31" s="834"/>
      <c r="D31" s="834"/>
      <c r="E31" s="834"/>
      <c r="F31" s="834"/>
      <c r="G31" s="834"/>
      <c r="H31" s="834"/>
      <c r="I31" s="834"/>
      <c r="J31" s="834"/>
      <c r="K31" s="834"/>
    </row>
    <row r="32" spans="1:12">
      <c r="B32" s="834"/>
      <c r="C32" s="834"/>
      <c r="D32" s="834"/>
      <c r="E32" s="834"/>
      <c r="F32" s="834"/>
      <c r="G32" s="834"/>
      <c r="H32" s="834"/>
      <c r="I32" s="834"/>
      <c r="J32" s="834"/>
      <c r="K32" s="834"/>
    </row>
    <row r="33" spans="1:12">
      <c r="B33" s="835" t="s">
        <v>406</v>
      </c>
      <c r="C33" s="835"/>
      <c r="D33" s="835"/>
      <c r="E33" s="835"/>
      <c r="F33" s="835"/>
      <c r="G33" s="835"/>
      <c r="H33" s="835"/>
      <c r="I33" s="835"/>
      <c r="J33" s="835"/>
      <c r="K33" s="835"/>
    </row>
    <row r="34" spans="1:12">
      <c r="B34" s="12"/>
    </row>
    <row r="35" spans="1:12">
      <c r="A35" s="13" t="s">
        <v>100</v>
      </c>
      <c r="B35" s="13" t="s">
        <v>407</v>
      </c>
      <c r="C35" s="13" t="s">
        <v>408</v>
      </c>
      <c r="L35" s="13" t="str">
        <f>A35</f>
        <v>Line</v>
      </c>
    </row>
    <row r="36" spans="1:12">
      <c r="A36" s="8">
        <v>200</v>
      </c>
      <c r="B36" s="46">
        <f ca="1">'3-True-upTRR Corrected V1'!$E$110</f>
        <v>2513652104.482832</v>
      </c>
      <c r="C36" s="6" t="str">
        <f>"3-True-up TRR, L. "&amp;'3-True-upTRR Corrected V1'!$A$110&amp;""</f>
        <v>3-True-up TRR, L. 421</v>
      </c>
      <c r="L36" s="8">
        <f>A36</f>
        <v>200</v>
      </c>
    </row>
    <row r="37" spans="1:12">
      <c r="A37" s="8"/>
    </row>
    <row r="38" spans="1:12">
      <c r="A38" s="8"/>
      <c r="B38" s="8"/>
      <c r="C38" s="13" t="s">
        <v>371</v>
      </c>
      <c r="D38" s="13" t="s">
        <v>372</v>
      </c>
      <c r="E38" s="13" t="s">
        <v>373</v>
      </c>
      <c r="F38" s="13" t="s">
        <v>374</v>
      </c>
      <c r="G38" s="13" t="s">
        <v>375</v>
      </c>
      <c r="H38" s="13" t="s">
        <v>376</v>
      </c>
      <c r="I38" s="13" t="s">
        <v>377</v>
      </c>
      <c r="J38" s="13" t="s">
        <v>378</v>
      </c>
      <c r="K38" s="13" t="s">
        <v>409</v>
      </c>
    </row>
    <row r="39" spans="1:12">
      <c r="A39" s="8"/>
      <c r="B39" s="8"/>
      <c r="C39" s="8"/>
      <c r="D39" s="27" t="s">
        <v>251</v>
      </c>
      <c r="E39" s="30" t="s">
        <v>287</v>
      </c>
      <c r="F39" s="30" t="str">
        <f>""&amp;D38&amp;" - "&amp;E38&amp;""</f>
        <v>Col 2 - Col 3</v>
      </c>
      <c r="G39" s="30" t="s">
        <v>410</v>
      </c>
      <c r="H39" s="30" t="s">
        <v>411</v>
      </c>
      <c r="I39" s="30" t="s">
        <v>412</v>
      </c>
      <c r="J39" s="30" t="s">
        <v>413</v>
      </c>
      <c r="K39" s="30" t="str">
        <f>""&amp;G38&amp;" + "&amp;J38&amp;""</f>
        <v>Col 5 + Col 8</v>
      </c>
    </row>
    <row r="40" spans="1:12">
      <c r="A40" s="8"/>
      <c r="B40" s="8"/>
      <c r="C40" s="8"/>
      <c r="D40" s="8"/>
      <c r="E40" s="8"/>
      <c r="F40" s="8"/>
      <c r="G40" s="8" t="s">
        <v>414</v>
      </c>
      <c r="H40" s="8"/>
      <c r="I40" s="8"/>
      <c r="J40" s="8"/>
      <c r="K40" s="8" t="s">
        <v>414</v>
      </c>
    </row>
    <row r="41" spans="1:12">
      <c r="A41" s="8"/>
      <c r="B41" s="8"/>
      <c r="C41" s="8"/>
      <c r="D41" s="8" t="s">
        <v>380</v>
      </c>
      <c r="E41" s="8" t="s">
        <v>380</v>
      </c>
      <c r="F41" s="8" t="s">
        <v>380</v>
      </c>
      <c r="G41" s="8" t="s">
        <v>415</v>
      </c>
      <c r="H41" s="8"/>
      <c r="I41" s="8"/>
      <c r="J41" s="8"/>
      <c r="K41" s="8" t="s">
        <v>415</v>
      </c>
    </row>
    <row r="42" spans="1:12">
      <c r="A42" s="8"/>
      <c r="B42" s="8"/>
      <c r="C42" s="8"/>
      <c r="D42" s="8" t="s">
        <v>416</v>
      </c>
      <c r="E42" s="8" t="s">
        <v>385</v>
      </c>
      <c r="F42" s="8" t="s">
        <v>417</v>
      </c>
      <c r="G42" s="8" t="s">
        <v>418</v>
      </c>
      <c r="H42" s="8" t="s">
        <v>416</v>
      </c>
      <c r="I42" s="8" t="s">
        <v>416</v>
      </c>
      <c r="J42" s="8" t="s">
        <v>419</v>
      </c>
      <c r="K42" s="8" t="s">
        <v>418</v>
      </c>
    </row>
    <row r="43" spans="1:12">
      <c r="A43" s="8"/>
      <c r="B43" s="13" t="s">
        <v>384</v>
      </c>
      <c r="C43" s="13" t="s">
        <v>420</v>
      </c>
      <c r="D43" s="13" t="s">
        <v>421</v>
      </c>
      <c r="E43" s="13" t="s">
        <v>422</v>
      </c>
      <c r="F43" s="13" t="s">
        <v>423</v>
      </c>
      <c r="G43" s="13" t="s">
        <v>424</v>
      </c>
      <c r="H43" s="13" t="s">
        <v>425</v>
      </c>
      <c r="I43" s="13" t="s">
        <v>426</v>
      </c>
      <c r="J43" s="13" t="s">
        <v>426</v>
      </c>
      <c r="K43" s="13" t="s">
        <v>427</v>
      </c>
    </row>
    <row r="44" spans="1:12">
      <c r="A44" s="8">
        <f>A36+1</f>
        <v>201</v>
      </c>
      <c r="B44" t="s">
        <v>428</v>
      </c>
      <c r="C44" s="30">
        <f>C45-1</f>
        <v>2020</v>
      </c>
      <c r="D44" s="30" t="s">
        <v>429</v>
      </c>
      <c r="E44" s="30" t="s">
        <v>429</v>
      </c>
      <c r="F44" s="30" t="s">
        <v>429</v>
      </c>
      <c r="G44" s="52">
        <v>-706236.86768466234</v>
      </c>
      <c r="H44" s="30" t="s">
        <v>429</v>
      </c>
      <c r="I44" s="30" t="s">
        <v>429</v>
      </c>
      <c r="J44" s="52">
        <v>-24568.080000000075</v>
      </c>
      <c r="K44" s="22">
        <f>ROUND((G44+J44),2)</f>
        <v>-730804.95</v>
      </c>
      <c r="L44" s="8">
        <f t="shared" ref="L44:L68" si="4">A44</f>
        <v>201</v>
      </c>
    </row>
    <row r="45" spans="1:12">
      <c r="A45" s="8">
        <f>A44+1</f>
        <v>202</v>
      </c>
      <c r="B45" t="s">
        <v>430</v>
      </c>
      <c r="C45" s="30">
        <f>'1-BaseTRR'!$G$2</f>
        <v>2021</v>
      </c>
      <c r="D45" s="22">
        <f ca="1">IF($D$102="No",$B$36*D108,IF(F108="No",0,IF(F108="Yes",D108*$B$36,0)))</f>
        <v>192478859.72712052</v>
      </c>
      <c r="E45" s="22">
        <f t="shared" ref="E45:E56" si="5">IF($D$102="No",C13,IF(F108="No",0,IF(F108="Yes",C13,0)))</f>
        <v>173865554</v>
      </c>
      <c r="F45" s="22">
        <f t="shared" ref="F45:F56" ca="1" si="6">D45-E45</f>
        <v>18613305.727120519</v>
      </c>
      <c r="G45" s="22">
        <f ca="1">F45+G44</f>
        <v>17907068.859435856</v>
      </c>
      <c r="H45" s="802">
        <f>0.0325/12</f>
        <v>2.7083333333333334E-3</v>
      </c>
      <c r="I45" s="22">
        <f ca="1">ROUND((F45/2+K44)*H45,2)</f>
        <v>23226.25</v>
      </c>
      <c r="J45" s="22">
        <f ca="1">I45+J44</f>
        <v>-1341.8300000000745</v>
      </c>
      <c r="K45" s="22">
        <f t="shared" ref="K45:K68" ca="1" si="7">ROUND((G45+J45),2)</f>
        <v>17905727.030000001</v>
      </c>
      <c r="L45" s="8">
        <f t="shared" si="4"/>
        <v>202</v>
      </c>
    </row>
    <row r="46" spans="1:12">
      <c r="A46" s="8">
        <f t="shared" ref="A46:A68" si="8">A45+1</f>
        <v>203</v>
      </c>
      <c r="B46" t="s">
        <v>431</v>
      </c>
      <c r="C46" s="30">
        <f>'1-BaseTRR'!$G$2</f>
        <v>2021</v>
      </c>
      <c r="D46" s="22">
        <f t="shared" ref="D46:D56" ca="1" si="9">IF($D$102="No",$B$36*D109,IF(F109="No",0,IF(F109="Yes",D109*$B$36,0)))</f>
        <v>169945856.93170899</v>
      </c>
      <c r="E46" s="22">
        <f t="shared" si="5"/>
        <v>155765406</v>
      </c>
      <c r="F46" s="22">
        <f t="shared" ca="1" si="6"/>
        <v>14180450.931708992</v>
      </c>
      <c r="G46" s="22">
        <f t="shared" ref="G46:G68" ca="1" si="10">F46+G45</f>
        <v>32087519.791144848</v>
      </c>
      <c r="H46" s="802">
        <f t="shared" ref="H46:H62" si="11">0.0325/12</f>
        <v>2.7083333333333334E-3</v>
      </c>
      <c r="I46" s="22">
        <f t="shared" ref="I46:I68" ca="1" si="12">ROUND((F46/2+K45)*H46,2)</f>
        <v>67697.37</v>
      </c>
      <c r="J46" s="22">
        <f ca="1">I46+J45</f>
        <v>66355.539999999921</v>
      </c>
      <c r="K46" s="22">
        <f t="shared" ca="1" si="7"/>
        <v>32153875.329999998</v>
      </c>
      <c r="L46" s="8">
        <f t="shared" si="4"/>
        <v>203</v>
      </c>
    </row>
    <row r="47" spans="1:12">
      <c r="A47" s="8">
        <f t="shared" si="8"/>
        <v>204</v>
      </c>
      <c r="B47" t="s">
        <v>432</v>
      </c>
      <c r="C47" s="30">
        <f>'1-BaseTRR'!$G$2</f>
        <v>2021</v>
      </c>
      <c r="D47" s="22">
        <f t="shared" ca="1" si="9"/>
        <v>191106220.33740005</v>
      </c>
      <c r="E47" s="22">
        <f t="shared" si="5"/>
        <v>181654753</v>
      </c>
      <c r="F47" s="22">
        <f t="shared" ca="1" si="6"/>
        <v>9451467.337400049</v>
      </c>
      <c r="G47" s="22">
        <f t="shared" ca="1" si="10"/>
        <v>41538987.128544897</v>
      </c>
      <c r="H47" s="802">
        <f t="shared" si="11"/>
        <v>2.7083333333333334E-3</v>
      </c>
      <c r="I47" s="22">
        <f t="shared" ca="1" si="12"/>
        <v>99882.27</v>
      </c>
      <c r="J47" s="22">
        <f ca="1">I47+J46</f>
        <v>166237.80999999994</v>
      </c>
      <c r="K47" s="22">
        <f t="shared" ca="1" si="7"/>
        <v>41705224.939999998</v>
      </c>
      <c r="L47" s="8">
        <f t="shared" si="4"/>
        <v>204</v>
      </c>
    </row>
    <row r="48" spans="1:12">
      <c r="A48" s="8">
        <f t="shared" si="8"/>
        <v>205</v>
      </c>
      <c r="B48" t="s">
        <v>433</v>
      </c>
      <c r="C48" s="30">
        <f>'1-BaseTRR'!$G$2</f>
        <v>2021</v>
      </c>
      <c r="D48" s="22">
        <f t="shared" ca="1" si="9"/>
        <v>188172616.68018997</v>
      </c>
      <c r="E48" s="22">
        <f t="shared" si="5"/>
        <v>148368721</v>
      </c>
      <c r="F48" s="22">
        <f t="shared" ca="1" si="6"/>
        <v>39803895.680189967</v>
      </c>
      <c r="G48" s="22">
        <f t="shared" ca="1" si="10"/>
        <v>81342882.808734864</v>
      </c>
      <c r="H48" s="802">
        <f t="shared" si="11"/>
        <v>2.7083333333333334E-3</v>
      </c>
      <c r="I48" s="22">
        <f t="shared" ca="1" si="12"/>
        <v>166852.76</v>
      </c>
      <c r="J48" s="22">
        <f t="shared" ref="J48:J68" ca="1" si="13">I48+J47</f>
        <v>333090.56999999995</v>
      </c>
      <c r="K48" s="22">
        <f t="shared" ca="1" si="7"/>
        <v>81675973.379999995</v>
      </c>
      <c r="L48" s="8">
        <f t="shared" si="4"/>
        <v>205</v>
      </c>
    </row>
    <row r="49" spans="1:16">
      <c r="A49" s="8">
        <f t="shared" si="8"/>
        <v>206</v>
      </c>
      <c r="B49" t="s">
        <v>395</v>
      </c>
      <c r="C49" s="30">
        <f>'1-BaseTRR'!$G$2</f>
        <v>2021</v>
      </c>
      <c r="D49" s="22">
        <f t="shared" ca="1" si="9"/>
        <v>212499635.14437041</v>
      </c>
      <c r="E49" s="22">
        <f t="shared" si="5"/>
        <v>170683066</v>
      </c>
      <c r="F49" s="22">
        <f t="shared" ca="1" si="6"/>
        <v>41816569.144370407</v>
      </c>
      <c r="G49" s="22">
        <f t="shared" ca="1" si="10"/>
        <v>123159451.95310527</v>
      </c>
      <c r="H49" s="802">
        <f t="shared" si="11"/>
        <v>2.7083333333333334E-3</v>
      </c>
      <c r="I49" s="22">
        <f t="shared" ca="1" si="12"/>
        <v>277832.37</v>
      </c>
      <c r="J49" s="22">
        <f t="shared" ca="1" si="13"/>
        <v>610922.93999999994</v>
      </c>
      <c r="K49" s="22">
        <f t="shared" ca="1" si="7"/>
        <v>123770374.89</v>
      </c>
      <c r="L49" s="8">
        <f t="shared" si="4"/>
        <v>206</v>
      </c>
    </row>
    <row r="50" spans="1:16">
      <c r="A50" s="8">
        <f t="shared" si="8"/>
        <v>207</v>
      </c>
      <c r="B50" t="s">
        <v>434</v>
      </c>
      <c r="C50" s="30">
        <f>'1-BaseTRR'!$G$2</f>
        <v>2021</v>
      </c>
      <c r="D50" s="22">
        <f t="shared" ca="1" si="9"/>
        <v>238317031.30865189</v>
      </c>
      <c r="E50" s="22">
        <f t="shared" si="5"/>
        <v>206749749</v>
      </c>
      <c r="F50" s="22">
        <f t="shared" ca="1" si="6"/>
        <v>31567282.308651894</v>
      </c>
      <c r="G50" s="22">
        <f t="shared" ca="1" si="10"/>
        <v>154726734.26175717</v>
      </c>
      <c r="H50" s="802">
        <f t="shared" si="11"/>
        <v>2.7083333333333334E-3</v>
      </c>
      <c r="I50" s="22">
        <f t="shared" ca="1" si="12"/>
        <v>377958.79</v>
      </c>
      <c r="J50" s="22">
        <f t="shared" ca="1" si="13"/>
        <v>988881.73</v>
      </c>
      <c r="K50" s="22">
        <f t="shared" ca="1" si="7"/>
        <v>155715615.99000001</v>
      </c>
      <c r="L50" s="8">
        <f t="shared" si="4"/>
        <v>207</v>
      </c>
    </row>
    <row r="51" spans="1:16">
      <c r="A51" s="8">
        <f t="shared" si="8"/>
        <v>208</v>
      </c>
      <c r="B51" t="s">
        <v>435</v>
      </c>
      <c r="C51" s="30">
        <f>'1-BaseTRR'!$G$2</f>
        <v>2021</v>
      </c>
      <c r="D51" s="22">
        <f t="shared" ca="1" si="9"/>
        <v>262397938.98211676</v>
      </c>
      <c r="E51" s="22">
        <f t="shared" si="5"/>
        <v>222331409</v>
      </c>
      <c r="F51" s="22">
        <f t="shared" ca="1" si="6"/>
        <v>40066529.982116759</v>
      </c>
      <c r="G51" s="22">
        <f t="shared" ca="1" si="10"/>
        <v>194793264.24387392</v>
      </c>
      <c r="H51" s="802">
        <f t="shared" si="11"/>
        <v>2.7083333333333334E-3</v>
      </c>
      <c r="I51" s="22">
        <f t="shared" ca="1" si="12"/>
        <v>475986.55</v>
      </c>
      <c r="J51" s="22">
        <f t="shared" ca="1" si="13"/>
        <v>1464868.28</v>
      </c>
      <c r="K51" s="22">
        <f t="shared" ca="1" si="7"/>
        <v>196258132.52000001</v>
      </c>
      <c r="L51" s="8">
        <f t="shared" si="4"/>
        <v>208</v>
      </c>
    </row>
    <row r="52" spans="1:16" ht="15" customHeight="1">
      <c r="A52" s="8">
        <f t="shared" si="8"/>
        <v>209</v>
      </c>
      <c r="B52" t="s">
        <v>436</v>
      </c>
      <c r="C52" s="30">
        <f>'1-BaseTRR'!$G$2</f>
        <v>2021</v>
      </c>
      <c r="D52" s="22">
        <f t="shared" ca="1" si="9"/>
        <v>250605998.49379307</v>
      </c>
      <c r="E52" s="22">
        <f t="shared" si="5"/>
        <v>229108231</v>
      </c>
      <c r="F52" s="22">
        <f t="shared" ca="1" si="6"/>
        <v>21497767.49379307</v>
      </c>
      <c r="G52" s="22">
        <f t="shared" ca="1" si="10"/>
        <v>216291031.73766699</v>
      </c>
      <c r="H52" s="802">
        <f t="shared" si="11"/>
        <v>2.7083333333333334E-3</v>
      </c>
      <c r="I52" s="22">
        <f t="shared" ca="1" si="12"/>
        <v>560644</v>
      </c>
      <c r="J52" s="22">
        <f t="shared" ca="1" si="13"/>
        <v>2025512.28</v>
      </c>
      <c r="K52" s="22">
        <f t="shared" ca="1" si="7"/>
        <v>218316544.02000001</v>
      </c>
      <c r="L52" s="8">
        <f t="shared" si="4"/>
        <v>209</v>
      </c>
    </row>
    <row r="53" spans="1:16">
      <c r="A53" s="8">
        <f t="shared" si="8"/>
        <v>210</v>
      </c>
      <c r="B53" t="s">
        <v>437</v>
      </c>
      <c r="C53" s="30">
        <f>'1-BaseTRR'!$G$2</f>
        <v>2021</v>
      </c>
      <c r="D53" s="22">
        <f t="shared" ca="1" si="9"/>
        <v>225989299.94236863</v>
      </c>
      <c r="E53" s="22">
        <f t="shared" si="5"/>
        <v>213467464</v>
      </c>
      <c r="F53" s="22">
        <f t="shared" ca="1" si="6"/>
        <v>12521835.942368627</v>
      </c>
      <c r="G53" s="22">
        <f t="shared" ca="1" si="10"/>
        <v>228812867.68003562</v>
      </c>
      <c r="H53" s="802">
        <f t="shared" si="11"/>
        <v>2.7083333333333334E-3</v>
      </c>
      <c r="I53" s="22">
        <f t="shared" ca="1" si="12"/>
        <v>608230.63</v>
      </c>
      <c r="J53" s="22">
        <f t="shared" ca="1" si="13"/>
        <v>2633742.91</v>
      </c>
      <c r="K53" s="22">
        <f t="shared" ca="1" si="7"/>
        <v>231446610.59</v>
      </c>
      <c r="L53" s="8">
        <f t="shared" si="4"/>
        <v>210</v>
      </c>
      <c r="N53" s="839" t="s">
        <v>2127</v>
      </c>
      <c r="O53" s="839"/>
    </row>
    <row r="54" spans="1:16">
      <c r="A54" s="8">
        <f t="shared" si="8"/>
        <v>211</v>
      </c>
      <c r="B54" t="s">
        <v>438</v>
      </c>
      <c r="C54" s="30">
        <f>'1-BaseTRR'!$G$2</f>
        <v>2021</v>
      </c>
      <c r="D54" s="22">
        <f t="shared" ca="1" si="9"/>
        <v>196850877.43971005</v>
      </c>
      <c r="E54" s="22">
        <f t="shared" si="5"/>
        <v>185755778</v>
      </c>
      <c r="F54" s="22">
        <f t="shared" ca="1" si="6"/>
        <v>11095099.439710051</v>
      </c>
      <c r="G54" s="22">
        <f t="shared" ca="1" si="10"/>
        <v>239907967.11974567</v>
      </c>
      <c r="H54" s="802">
        <f t="shared" si="11"/>
        <v>2.7083333333333334E-3</v>
      </c>
      <c r="I54" s="22">
        <f t="shared" ca="1" si="12"/>
        <v>641859.18000000005</v>
      </c>
      <c r="J54" s="22">
        <f t="shared" ca="1" si="13"/>
        <v>3275602.0900000003</v>
      </c>
      <c r="K54" s="22">
        <f t="shared" ca="1" si="7"/>
        <v>243183569.21000001</v>
      </c>
      <c r="L54" s="8">
        <f t="shared" si="4"/>
        <v>211</v>
      </c>
      <c r="N54" s="839"/>
      <c r="O54" s="839"/>
    </row>
    <row r="55" spans="1:16">
      <c r="A55" s="8">
        <f t="shared" si="8"/>
        <v>212</v>
      </c>
      <c r="B55" t="s">
        <v>439</v>
      </c>
      <c r="C55" s="30">
        <f>'1-BaseTRR'!$G$2</f>
        <v>2021</v>
      </c>
      <c r="D55" s="22">
        <f t="shared" ca="1" si="9"/>
        <v>182326483.09970793</v>
      </c>
      <c r="E55" s="22">
        <f t="shared" si="5"/>
        <v>164303834</v>
      </c>
      <c r="F55" s="22">
        <f t="shared" ca="1" si="6"/>
        <v>18022649.099707931</v>
      </c>
      <c r="G55" s="22">
        <f t="shared" ca="1" si="10"/>
        <v>257930616.2194536</v>
      </c>
      <c r="H55" s="802">
        <f t="shared" si="11"/>
        <v>2.7083333333333334E-3</v>
      </c>
      <c r="I55" s="22">
        <f t="shared" ca="1" si="12"/>
        <v>683027.84</v>
      </c>
      <c r="J55" s="22">
        <f t="shared" ca="1" si="13"/>
        <v>3958629.93</v>
      </c>
      <c r="K55" s="22">
        <f t="shared" ca="1" si="7"/>
        <v>261889246.15000001</v>
      </c>
      <c r="L55" s="8">
        <f t="shared" si="4"/>
        <v>212</v>
      </c>
      <c r="N55" s="839"/>
      <c r="O55" s="839"/>
    </row>
    <row r="56" spans="1:16">
      <c r="A56" s="812">
        <f t="shared" si="8"/>
        <v>213</v>
      </c>
      <c r="B56" s="813" t="s">
        <v>428</v>
      </c>
      <c r="C56" s="814">
        <f>'1-BaseTRR'!$G$2</f>
        <v>2021</v>
      </c>
      <c r="D56" s="815">
        <f t="shared" ca="1" si="9"/>
        <v>202961286.39569372</v>
      </c>
      <c r="E56" s="815">
        <f t="shared" si="5"/>
        <v>192160386</v>
      </c>
      <c r="F56" s="815">
        <f t="shared" ca="1" si="6"/>
        <v>10800900.395693719</v>
      </c>
      <c r="G56" s="815">
        <f t="shared" ca="1" si="10"/>
        <v>268731516.61514735</v>
      </c>
      <c r="H56" s="816">
        <f t="shared" si="11"/>
        <v>2.7083333333333334E-3</v>
      </c>
      <c r="I56" s="815">
        <f t="shared" ca="1" si="12"/>
        <v>723909.59</v>
      </c>
      <c r="J56" s="815">
        <f t="shared" ca="1" si="13"/>
        <v>4682539.5200000005</v>
      </c>
      <c r="K56" s="815">
        <f t="shared" ca="1" si="7"/>
        <v>273414056.13999999</v>
      </c>
      <c r="L56" s="812">
        <f t="shared" si="4"/>
        <v>213</v>
      </c>
      <c r="M56" s="813"/>
      <c r="N56" s="817">
        <f ca="1">G56-'4-ATA Original'!G56</f>
        <v>1063113.5596781075</v>
      </c>
      <c r="O56" s="817">
        <f ca="1">J56-'4-ATA Original'!J56</f>
        <v>17091.800000000745</v>
      </c>
      <c r="P56" t="s">
        <v>2136</v>
      </c>
    </row>
    <row r="57" spans="1:16">
      <c r="A57" s="8">
        <f t="shared" si="8"/>
        <v>214</v>
      </c>
      <c r="B57" t="s">
        <v>430</v>
      </c>
      <c r="C57" s="30">
        <f>C56+1</f>
        <v>2022</v>
      </c>
      <c r="D57" s="30" t="s">
        <v>429</v>
      </c>
      <c r="E57" s="30" t="s">
        <v>429</v>
      </c>
      <c r="F57" s="20">
        <v>0</v>
      </c>
      <c r="G57" s="22">
        <f ca="1">F57+G56</f>
        <v>268731516.61514735</v>
      </c>
      <c r="H57" s="802">
        <f t="shared" si="11"/>
        <v>2.7083333333333334E-3</v>
      </c>
      <c r="I57" s="22">
        <f t="shared" ca="1" si="12"/>
        <v>740496.4</v>
      </c>
      <c r="J57" s="22">
        <f t="shared" ca="1" si="13"/>
        <v>5423035.9200000009</v>
      </c>
      <c r="K57" s="22">
        <f t="shared" ca="1" si="7"/>
        <v>274154552.54000002</v>
      </c>
      <c r="L57" s="8">
        <f t="shared" si="4"/>
        <v>214</v>
      </c>
      <c r="N57" s="33">
        <v>-5063.5691055953503</v>
      </c>
      <c r="O57" s="33">
        <v>-261.54000000003725</v>
      </c>
      <c r="P57" t="s">
        <v>2139</v>
      </c>
    </row>
    <row r="58" spans="1:16">
      <c r="A58" s="8">
        <f t="shared" si="8"/>
        <v>215</v>
      </c>
      <c r="B58" t="s">
        <v>431</v>
      </c>
      <c r="C58" s="30">
        <f>$C$57</f>
        <v>2022</v>
      </c>
      <c r="D58" s="30" t="s">
        <v>429</v>
      </c>
      <c r="E58" s="30" t="s">
        <v>429</v>
      </c>
      <c r="F58" s="20">
        <v>0</v>
      </c>
      <c r="G58" s="22">
        <f t="shared" ca="1" si="10"/>
        <v>268731516.61514735</v>
      </c>
      <c r="H58" s="802">
        <f t="shared" si="11"/>
        <v>2.7083333333333334E-3</v>
      </c>
      <c r="I58" s="22">
        <f t="shared" ca="1" si="12"/>
        <v>742501.91</v>
      </c>
      <c r="J58" s="22">
        <f t="shared" ca="1" si="13"/>
        <v>6165537.830000001</v>
      </c>
      <c r="K58" s="22">
        <f t="shared" ca="1" si="7"/>
        <v>274897054.44999999</v>
      </c>
      <c r="L58" s="8">
        <f t="shared" si="4"/>
        <v>215</v>
      </c>
      <c r="N58" s="818">
        <v>-2250943.7576761846</v>
      </c>
      <c r="O58" s="818">
        <v>-116264.82999999897</v>
      </c>
      <c r="P58" t="s">
        <v>2139</v>
      </c>
    </row>
    <row r="59" spans="1:16">
      <c r="A59" s="8">
        <f t="shared" si="8"/>
        <v>216</v>
      </c>
      <c r="B59" t="s">
        <v>432</v>
      </c>
      <c r="C59" s="30">
        <f t="shared" ref="C59:C68" si="14">$C$57</f>
        <v>2022</v>
      </c>
      <c r="D59" s="30" t="s">
        <v>429</v>
      </c>
      <c r="E59" s="30" t="s">
        <v>429</v>
      </c>
      <c r="F59" s="20">
        <v>0</v>
      </c>
      <c r="G59" s="22">
        <f t="shared" ca="1" si="10"/>
        <v>268731516.61514735</v>
      </c>
      <c r="H59" s="802">
        <f t="shared" si="11"/>
        <v>2.7083333333333334E-3</v>
      </c>
      <c r="I59" s="22">
        <f t="shared" ca="1" si="12"/>
        <v>744512.86</v>
      </c>
      <c r="J59" s="22">
        <f t="shared" ca="1" si="13"/>
        <v>6910050.6900000013</v>
      </c>
      <c r="K59" s="22">
        <f t="shared" ca="1" si="7"/>
        <v>275641567.31</v>
      </c>
      <c r="L59" s="8">
        <f t="shared" si="4"/>
        <v>216</v>
      </c>
      <c r="N59" s="40">
        <f ca="1">SUM(N56:N58)</f>
        <v>-1192893.7671036725</v>
      </c>
      <c r="O59" s="40">
        <f ca="1">SUM(O56:O58)</f>
        <v>-99434.569999998261</v>
      </c>
      <c r="P59" t="s">
        <v>2140</v>
      </c>
    </row>
    <row r="60" spans="1:16">
      <c r="A60" s="8">
        <f t="shared" si="8"/>
        <v>217</v>
      </c>
      <c r="B60" t="s">
        <v>433</v>
      </c>
      <c r="C60" s="30">
        <f t="shared" si="14"/>
        <v>2022</v>
      </c>
      <c r="D60" s="30" t="s">
        <v>429</v>
      </c>
      <c r="E60" s="30" t="s">
        <v>429</v>
      </c>
      <c r="F60" s="20">
        <v>0</v>
      </c>
      <c r="G60" s="22">
        <f t="shared" ca="1" si="10"/>
        <v>268731516.61514735</v>
      </c>
      <c r="H60" s="802">
        <f t="shared" si="11"/>
        <v>2.7083333333333334E-3</v>
      </c>
      <c r="I60" s="22">
        <f t="shared" ca="1" si="12"/>
        <v>746529.24</v>
      </c>
      <c r="J60" s="22">
        <f t="shared" ca="1" si="13"/>
        <v>7656579.9300000016</v>
      </c>
      <c r="K60" s="22">
        <f t="shared" ca="1" si="7"/>
        <v>276388096.55000001</v>
      </c>
      <c r="L60" s="8">
        <f t="shared" si="4"/>
        <v>217</v>
      </c>
      <c r="N60" s="33">
        <f ca="1">SUM(N56:N58)-N59</f>
        <v>0</v>
      </c>
      <c r="O60" s="33">
        <f ca="1">SUM(O56:O58)-O59</f>
        <v>0</v>
      </c>
      <c r="P60" t="s">
        <v>2137</v>
      </c>
    </row>
    <row r="61" spans="1:16">
      <c r="A61" s="8">
        <f t="shared" si="8"/>
        <v>218</v>
      </c>
      <c r="B61" t="s">
        <v>395</v>
      </c>
      <c r="C61" s="30">
        <f t="shared" si="14"/>
        <v>2022</v>
      </c>
      <c r="D61" s="30" t="s">
        <v>429</v>
      </c>
      <c r="E61" s="30" t="s">
        <v>429</v>
      </c>
      <c r="F61" s="20">
        <v>0</v>
      </c>
      <c r="G61" s="22">
        <f t="shared" ca="1" si="10"/>
        <v>268731516.61514735</v>
      </c>
      <c r="H61" s="802">
        <f t="shared" si="11"/>
        <v>2.7083333333333334E-3</v>
      </c>
      <c r="I61" s="22">
        <f t="shared" ca="1" si="12"/>
        <v>748551.09</v>
      </c>
      <c r="J61" s="22">
        <f t="shared" ca="1" si="13"/>
        <v>8405131.0200000014</v>
      </c>
      <c r="K61" s="22">
        <f t="shared" ca="1" si="7"/>
        <v>277136647.63999999</v>
      </c>
      <c r="L61" s="8">
        <f t="shared" si="4"/>
        <v>218</v>
      </c>
    </row>
    <row r="62" spans="1:16">
      <c r="A62" s="8">
        <f t="shared" si="8"/>
        <v>219</v>
      </c>
      <c r="B62" t="s">
        <v>434</v>
      </c>
      <c r="C62" s="30">
        <f t="shared" si="14"/>
        <v>2022</v>
      </c>
      <c r="D62" s="30" t="s">
        <v>429</v>
      </c>
      <c r="E62" s="30" t="s">
        <v>429</v>
      </c>
      <c r="F62" s="20">
        <v>0</v>
      </c>
      <c r="G62" s="22">
        <f t="shared" ca="1" si="10"/>
        <v>268731516.61514735</v>
      </c>
      <c r="H62" s="802">
        <f t="shared" si="11"/>
        <v>2.7083333333333334E-3</v>
      </c>
      <c r="I62" s="22">
        <f t="shared" ca="1" si="12"/>
        <v>750578.42</v>
      </c>
      <c r="J62" s="22">
        <f t="shared" ca="1" si="13"/>
        <v>9155709.4400000013</v>
      </c>
      <c r="K62" s="22">
        <f t="shared" ca="1" si="7"/>
        <v>277887226.06</v>
      </c>
      <c r="L62" s="8">
        <f t="shared" si="4"/>
        <v>219</v>
      </c>
    </row>
    <row r="63" spans="1:16">
      <c r="A63" s="8">
        <f t="shared" si="8"/>
        <v>220</v>
      </c>
      <c r="B63" t="s">
        <v>435</v>
      </c>
      <c r="C63" s="30">
        <f t="shared" si="14"/>
        <v>2022</v>
      </c>
      <c r="D63" s="30" t="s">
        <v>429</v>
      </c>
      <c r="E63" s="30" t="s">
        <v>429</v>
      </c>
      <c r="F63" s="20">
        <v>0</v>
      </c>
      <c r="G63" s="22">
        <f t="shared" ca="1" si="10"/>
        <v>268731516.61514735</v>
      </c>
      <c r="H63" s="802">
        <f>0.036/12</f>
        <v>2.9999999999999996E-3</v>
      </c>
      <c r="I63" s="22">
        <f t="shared" ca="1" si="12"/>
        <v>833661.68</v>
      </c>
      <c r="J63" s="22">
        <f t="shared" ca="1" si="13"/>
        <v>9989371.120000001</v>
      </c>
      <c r="K63" s="22">
        <f t="shared" ca="1" si="7"/>
        <v>278720887.74000001</v>
      </c>
      <c r="L63" s="8">
        <f t="shared" si="4"/>
        <v>220</v>
      </c>
    </row>
    <row r="64" spans="1:16">
      <c r="A64" s="8">
        <f t="shared" si="8"/>
        <v>221</v>
      </c>
      <c r="B64" t="s">
        <v>436</v>
      </c>
      <c r="C64" s="30">
        <f t="shared" si="14"/>
        <v>2022</v>
      </c>
      <c r="D64" s="30" t="s">
        <v>429</v>
      </c>
      <c r="E64" s="30" t="s">
        <v>429</v>
      </c>
      <c r="F64" s="20">
        <v>0</v>
      </c>
      <c r="G64" s="22">
        <f t="shared" ca="1" si="10"/>
        <v>268731516.61514735</v>
      </c>
      <c r="H64" s="802">
        <f t="shared" ref="H64:H65" si="15">0.036/12</f>
        <v>2.9999999999999996E-3</v>
      </c>
      <c r="I64" s="22">
        <f t="shared" ca="1" si="12"/>
        <v>836162.66</v>
      </c>
      <c r="J64" s="22">
        <f t="shared" ca="1" si="13"/>
        <v>10825533.780000001</v>
      </c>
      <c r="K64" s="22">
        <f t="shared" ca="1" si="7"/>
        <v>279557050.39999998</v>
      </c>
      <c r="L64" s="8">
        <f t="shared" si="4"/>
        <v>221</v>
      </c>
    </row>
    <row r="65" spans="1:12">
      <c r="A65" s="8">
        <f t="shared" si="8"/>
        <v>222</v>
      </c>
      <c r="B65" t="s">
        <v>437</v>
      </c>
      <c r="C65" s="30">
        <f t="shared" si="14"/>
        <v>2022</v>
      </c>
      <c r="D65" s="30" t="s">
        <v>429</v>
      </c>
      <c r="E65" s="30" t="s">
        <v>429</v>
      </c>
      <c r="F65" s="20">
        <v>0</v>
      </c>
      <c r="G65" s="22">
        <f t="shared" ca="1" si="10"/>
        <v>268731516.61514735</v>
      </c>
      <c r="H65" s="802">
        <f t="shared" si="15"/>
        <v>2.9999999999999996E-3</v>
      </c>
      <c r="I65" s="22">
        <f t="shared" ca="1" si="12"/>
        <v>838671.15</v>
      </c>
      <c r="J65" s="22">
        <f t="shared" ca="1" si="13"/>
        <v>11664204.930000002</v>
      </c>
      <c r="K65" s="22">
        <f t="shared" ca="1" si="7"/>
        <v>280395721.55000001</v>
      </c>
      <c r="L65" s="8">
        <f t="shared" si="4"/>
        <v>222</v>
      </c>
    </row>
    <row r="66" spans="1:12">
      <c r="A66" s="8">
        <f t="shared" si="8"/>
        <v>223</v>
      </c>
      <c r="B66" t="s">
        <v>438</v>
      </c>
      <c r="C66" s="30">
        <f t="shared" si="14"/>
        <v>2022</v>
      </c>
      <c r="D66" s="30" t="s">
        <v>429</v>
      </c>
      <c r="E66" s="30" t="s">
        <v>429</v>
      </c>
      <c r="F66" s="20">
        <v>0</v>
      </c>
      <c r="G66" s="22">
        <f t="shared" ca="1" si="10"/>
        <v>268731516.61514735</v>
      </c>
      <c r="H66" s="802">
        <f>0.0491/12</f>
        <v>4.0916666666666662E-3</v>
      </c>
      <c r="I66" s="22">
        <f t="shared" ca="1" si="12"/>
        <v>1147285.83</v>
      </c>
      <c r="J66" s="22">
        <f t="shared" ca="1" si="13"/>
        <v>12811490.760000002</v>
      </c>
      <c r="K66" s="22">
        <f t="shared" ca="1" si="7"/>
        <v>281543007.38</v>
      </c>
      <c r="L66" s="8">
        <f t="shared" si="4"/>
        <v>223</v>
      </c>
    </row>
    <row r="67" spans="1:12">
      <c r="A67" s="8">
        <f t="shared" si="8"/>
        <v>224</v>
      </c>
      <c r="B67" t="s">
        <v>439</v>
      </c>
      <c r="C67" s="30">
        <f t="shared" si="14"/>
        <v>2022</v>
      </c>
      <c r="D67" s="30" t="s">
        <v>429</v>
      </c>
      <c r="E67" s="30" t="s">
        <v>429</v>
      </c>
      <c r="F67" s="20">
        <v>0</v>
      </c>
      <c r="G67" s="22">
        <f t="shared" ca="1" si="10"/>
        <v>268731516.61514735</v>
      </c>
      <c r="H67" s="802">
        <f t="shared" ref="H67:H68" si="16">0.0491/12</f>
        <v>4.0916666666666662E-3</v>
      </c>
      <c r="I67" s="22">
        <f t="shared" ca="1" si="12"/>
        <v>1151980.1399999999</v>
      </c>
      <c r="J67" s="22">
        <f t="shared" ca="1" si="13"/>
        <v>13963470.900000002</v>
      </c>
      <c r="K67" s="22">
        <f t="shared" ca="1" si="7"/>
        <v>282694987.51999998</v>
      </c>
      <c r="L67" s="8">
        <f t="shared" si="4"/>
        <v>224</v>
      </c>
    </row>
    <row r="68" spans="1:12">
      <c r="A68" s="8">
        <f t="shared" si="8"/>
        <v>225</v>
      </c>
      <c r="B68" t="s">
        <v>428</v>
      </c>
      <c r="C68" s="30">
        <f t="shared" si="14"/>
        <v>2022</v>
      </c>
      <c r="D68" s="30" t="s">
        <v>429</v>
      </c>
      <c r="E68" s="30" t="s">
        <v>429</v>
      </c>
      <c r="F68" s="20">
        <v>0</v>
      </c>
      <c r="G68" s="22">
        <f t="shared" ca="1" si="10"/>
        <v>268731516.61514735</v>
      </c>
      <c r="H68" s="802">
        <f t="shared" si="16"/>
        <v>4.0916666666666662E-3</v>
      </c>
      <c r="I68" s="22">
        <f t="shared" ca="1" si="12"/>
        <v>1156693.6599999999</v>
      </c>
      <c r="J68" s="22">
        <f t="shared" ca="1" si="13"/>
        <v>15120164.560000002</v>
      </c>
      <c r="K68" s="22">
        <f t="shared" ca="1" si="7"/>
        <v>283851681.18000001</v>
      </c>
      <c r="L68" s="8">
        <f t="shared" si="4"/>
        <v>225</v>
      </c>
    </row>
    <row r="69" spans="1:12">
      <c r="A69" s="8"/>
      <c r="D69" s="40"/>
      <c r="E69" s="20"/>
      <c r="G69" s="20"/>
      <c r="I69" s="20"/>
      <c r="J69" s="20"/>
      <c r="K69" s="20"/>
    </row>
    <row r="70" spans="1:12">
      <c r="A70" s="8"/>
      <c r="B70" s="58" t="s">
        <v>440</v>
      </c>
      <c r="C70" s="55"/>
      <c r="D70" s="55"/>
      <c r="E70" s="55"/>
      <c r="F70" s="55"/>
      <c r="G70" s="55"/>
      <c r="H70" s="55"/>
      <c r="I70" s="55"/>
      <c r="J70" s="55"/>
      <c r="K70" s="55"/>
    </row>
    <row r="71" spans="1:12">
      <c r="A71" s="8"/>
      <c r="B71" s="11" t="s">
        <v>441</v>
      </c>
    </row>
    <row r="72" spans="1:12">
      <c r="A72" s="8"/>
      <c r="B72" s="834" t="str">
        <f>"1) Input the Total Amortization amount on Line "&amp;A91&amp;" that will set the December Month Ending Balance on Line "&amp;A90&amp;", "&amp;I74&amp;" equal to $0. (Hint: Use the Goal Seek Function to set the December Month Ending Balance in Col 7 to equal $0)"</f>
        <v>1) Input the Total Amortization amount on Line 312 that will set the December Month Ending Balance on Line 311, Col 7 equal to $0. (Hint: Use the Goal Seek Function to set the December Month Ending Balance in Col 7 to equal $0)</v>
      </c>
      <c r="C72" s="834"/>
      <c r="D72" s="834"/>
      <c r="E72" s="834"/>
      <c r="F72" s="834"/>
      <c r="G72" s="834"/>
      <c r="H72" s="834"/>
      <c r="I72" s="834"/>
      <c r="J72" s="834"/>
      <c r="K72" s="834"/>
    </row>
    <row r="73" spans="1:12">
      <c r="A73" s="8"/>
      <c r="B73" s="834"/>
      <c r="C73" s="834"/>
      <c r="D73" s="834"/>
      <c r="E73" s="834"/>
      <c r="F73" s="834"/>
      <c r="G73" s="834"/>
      <c r="H73" s="834"/>
      <c r="I73" s="834"/>
      <c r="J73" s="834"/>
      <c r="K73" s="834"/>
    </row>
    <row r="74" spans="1:12">
      <c r="C74" s="13" t="s">
        <v>371</v>
      </c>
      <c r="D74" s="13" t="s">
        <v>372</v>
      </c>
      <c r="E74" s="13" t="s">
        <v>373</v>
      </c>
      <c r="F74" s="13" t="s">
        <v>374</v>
      </c>
      <c r="G74" s="13" t="s">
        <v>375</v>
      </c>
      <c r="H74" s="13" t="s">
        <v>376</v>
      </c>
      <c r="I74" s="13" t="s">
        <v>377</v>
      </c>
    </row>
    <row r="75" spans="1:12">
      <c r="C75" s="30"/>
      <c r="D75" s="30" t="s">
        <v>442</v>
      </c>
      <c r="E75" s="30"/>
      <c r="F75" s="30" t="str">
        <f>""&amp;D74&amp;" + "&amp;E74&amp;""</f>
        <v>Col 2 + Col 3</v>
      </c>
      <c r="G75" s="30" t="s">
        <v>443</v>
      </c>
      <c r="H75" s="30" t="s">
        <v>444</v>
      </c>
      <c r="I75" s="30" t="str">
        <f>""&amp;F74&amp;" + "&amp;G74&amp;""</f>
        <v>Col 4 + Col 5</v>
      </c>
    </row>
    <row r="76" spans="1:12">
      <c r="B76" s="8"/>
      <c r="C76" s="8"/>
      <c r="D76" s="8" t="s">
        <v>384</v>
      </c>
      <c r="E76" s="65"/>
      <c r="F76" s="8" t="s">
        <v>384</v>
      </c>
      <c r="G76" s="8"/>
      <c r="H76" s="8"/>
      <c r="I76" s="8"/>
    </row>
    <row r="77" spans="1:12">
      <c r="B77" s="8"/>
      <c r="C77" s="8"/>
      <c r="D77" s="8" t="s">
        <v>445</v>
      </c>
      <c r="E77" s="65"/>
      <c r="F77" s="8" t="s">
        <v>446</v>
      </c>
      <c r="G77" s="8" t="s">
        <v>447</v>
      </c>
      <c r="H77" s="8" t="s">
        <v>416</v>
      </c>
      <c r="I77" s="8" t="s">
        <v>384</v>
      </c>
    </row>
    <row r="78" spans="1:12">
      <c r="A78" s="13" t="s">
        <v>100</v>
      </c>
      <c r="B78" s="13" t="s">
        <v>384</v>
      </c>
      <c r="C78" s="13" t="s">
        <v>420</v>
      </c>
      <c r="D78" s="13" t="s">
        <v>448</v>
      </c>
      <c r="E78" s="13" t="s">
        <v>449</v>
      </c>
      <c r="F78" s="13" t="s">
        <v>424</v>
      </c>
      <c r="G78" s="13" t="s">
        <v>450</v>
      </c>
      <c r="H78" s="13" t="s">
        <v>425</v>
      </c>
      <c r="I78" s="13" t="s">
        <v>446</v>
      </c>
      <c r="L78" s="13" t="str">
        <f t="shared" ref="L78:L91" si="17">A78</f>
        <v>Line</v>
      </c>
    </row>
    <row r="79" spans="1:12">
      <c r="A79" s="8">
        <v>300</v>
      </c>
      <c r="B79" t="s">
        <v>430</v>
      </c>
      <c r="C79" s="30">
        <f>'1-BaseTRR'!$G$1</f>
        <v>2023</v>
      </c>
      <c r="D79" s="22">
        <f ca="1">K68</f>
        <v>283851681.18000001</v>
      </c>
      <c r="E79" s="22">
        <f t="shared" ref="E79:E90" si="18">$E$91/12</f>
        <v>-24142772.416666668</v>
      </c>
      <c r="F79" s="22">
        <f ca="1">D79+E79</f>
        <v>259708908.76333335</v>
      </c>
      <c r="G79" s="22">
        <f ca="1">ROUND(((D79+F79)/2)*H79,2)</f>
        <v>1112034.3700000001</v>
      </c>
      <c r="H79" s="66">
        <f>$H$68</f>
        <v>4.0916666666666662E-3</v>
      </c>
      <c r="I79" s="22">
        <f ca="1">ROUND(G79+F79,2)</f>
        <v>260820943.13</v>
      </c>
      <c r="L79" s="8">
        <f t="shared" si="17"/>
        <v>300</v>
      </c>
    </row>
    <row r="80" spans="1:12">
      <c r="A80" s="8">
        <f>A79+1</f>
        <v>301</v>
      </c>
      <c r="B80" t="s">
        <v>431</v>
      </c>
      <c r="C80" s="30">
        <f>'1-BaseTRR'!$G$1</f>
        <v>2023</v>
      </c>
      <c r="D80" s="22">
        <f ca="1">I79</f>
        <v>260820943.13</v>
      </c>
      <c r="E80" s="22">
        <f t="shared" si="18"/>
        <v>-24142772.416666668</v>
      </c>
      <c r="F80" s="22">
        <f t="shared" ref="F80:F90" ca="1" si="19">D80+E80</f>
        <v>236678170.71333334</v>
      </c>
      <c r="G80" s="22">
        <f t="shared" ref="G80:G90" ca="1" si="20">ROUND(((D80+F80)/2)*H80,2)</f>
        <v>1017800.27</v>
      </c>
      <c r="H80" s="66">
        <f t="shared" ref="H80:H90" si="21">$H$68</f>
        <v>4.0916666666666662E-3</v>
      </c>
      <c r="I80" s="22">
        <f t="shared" ref="I80:I90" ca="1" si="22">ROUND(G80+F80,2)</f>
        <v>237695970.97999999</v>
      </c>
      <c r="L80" s="8">
        <f t="shared" si="17"/>
        <v>301</v>
      </c>
    </row>
    <row r="81" spans="1:12">
      <c r="A81" s="8">
        <f t="shared" ref="A81:A91" si="23">A80+1</f>
        <v>302</v>
      </c>
      <c r="B81" t="s">
        <v>432</v>
      </c>
      <c r="C81" s="30">
        <f>'1-BaseTRR'!$G$1</f>
        <v>2023</v>
      </c>
      <c r="D81" s="22">
        <f t="shared" ref="D81:D90" ca="1" si="24">I80</f>
        <v>237695970.97999999</v>
      </c>
      <c r="E81" s="22">
        <f t="shared" si="18"/>
        <v>-24142772.416666668</v>
      </c>
      <c r="F81" s="22">
        <f t="shared" ca="1" si="19"/>
        <v>213553198.56333333</v>
      </c>
      <c r="G81" s="22">
        <f t="shared" ca="1" si="20"/>
        <v>923180.59</v>
      </c>
      <c r="H81" s="66">
        <f t="shared" si="21"/>
        <v>4.0916666666666662E-3</v>
      </c>
      <c r="I81" s="22">
        <f t="shared" ca="1" si="22"/>
        <v>214476379.15000001</v>
      </c>
      <c r="L81" s="8">
        <f t="shared" si="17"/>
        <v>302</v>
      </c>
    </row>
    <row r="82" spans="1:12">
      <c r="A82" s="8">
        <f t="shared" si="23"/>
        <v>303</v>
      </c>
      <c r="B82" t="s">
        <v>433</v>
      </c>
      <c r="C82" s="30">
        <f>'1-BaseTRR'!$G$1</f>
        <v>2023</v>
      </c>
      <c r="D82" s="22">
        <f t="shared" ca="1" si="24"/>
        <v>214476379.15000001</v>
      </c>
      <c r="E82" s="22">
        <f t="shared" si="18"/>
        <v>-24142772.416666668</v>
      </c>
      <c r="F82" s="22">
        <f t="shared" ca="1" si="19"/>
        <v>190333606.73333335</v>
      </c>
      <c r="G82" s="22">
        <f t="shared" ca="1" si="20"/>
        <v>828173.76</v>
      </c>
      <c r="H82" s="66">
        <f t="shared" si="21"/>
        <v>4.0916666666666662E-3</v>
      </c>
      <c r="I82" s="22">
        <f t="shared" ca="1" si="22"/>
        <v>191161780.49000001</v>
      </c>
      <c r="L82" s="8">
        <f t="shared" si="17"/>
        <v>303</v>
      </c>
    </row>
    <row r="83" spans="1:12">
      <c r="A83" s="8">
        <f t="shared" si="23"/>
        <v>304</v>
      </c>
      <c r="B83" t="s">
        <v>395</v>
      </c>
      <c r="C83" s="30">
        <f>'1-BaseTRR'!$G$1</f>
        <v>2023</v>
      </c>
      <c r="D83" s="22">
        <f t="shared" ca="1" si="24"/>
        <v>191161780.49000001</v>
      </c>
      <c r="E83" s="22">
        <f t="shared" si="18"/>
        <v>-24142772.416666668</v>
      </c>
      <c r="F83" s="22">
        <f t="shared" ca="1" si="19"/>
        <v>167019008.07333335</v>
      </c>
      <c r="G83" s="22">
        <f t="shared" ca="1" si="20"/>
        <v>732778.2</v>
      </c>
      <c r="H83" s="66">
        <f t="shared" si="21"/>
        <v>4.0916666666666662E-3</v>
      </c>
      <c r="I83" s="22">
        <f t="shared" ca="1" si="22"/>
        <v>167751786.27000001</v>
      </c>
      <c r="L83" s="8">
        <f t="shared" si="17"/>
        <v>304</v>
      </c>
    </row>
    <row r="84" spans="1:12">
      <c r="A84" s="8">
        <f t="shared" si="23"/>
        <v>305</v>
      </c>
      <c r="B84" t="s">
        <v>434</v>
      </c>
      <c r="C84" s="30">
        <f>'1-BaseTRR'!$G$1</f>
        <v>2023</v>
      </c>
      <c r="D84" s="22">
        <f t="shared" ca="1" si="24"/>
        <v>167751786.27000001</v>
      </c>
      <c r="E84" s="22">
        <f t="shared" si="18"/>
        <v>-24142772.416666668</v>
      </c>
      <c r="F84" s="22">
        <f t="shared" ca="1" si="19"/>
        <v>143609013.85333335</v>
      </c>
      <c r="G84" s="22">
        <f t="shared" ca="1" si="20"/>
        <v>636992.30000000005</v>
      </c>
      <c r="H84" s="66">
        <f t="shared" si="21"/>
        <v>4.0916666666666662E-3</v>
      </c>
      <c r="I84" s="22">
        <f t="shared" ca="1" si="22"/>
        <v>144246006.15000001</v>
      </c>
      <c r="L84" s="8">
        <f t="shared" si="17"/>
        <v>305</v>
      </c>
    </row>
    <row r="85" spans="1:12">
      <c r="A85" s="8">
        <f t="shared" si="23"/>
        <v>306</v>
      </c>
      <c r="B85" t="s">
        <v>435</v>
      </c>
      <c r="C85" s="30">
        <f>'1-BaseTRR'!$G$1</f>
        <v>2023</v>
      </c>
      <c r="D85" s="22">
        <f t="shared" ca="1" si="24"/>
        <v>144246006.15000001</v>
      </c>
      <c r="E85" s="22">
        <f t="shared" si="18"/>
        <v>-24142772.416666668</v>
      </c>
      <c r="F85" s="22">
        <f t="shared" ca="1" si="19"/>
        <v>120103233.73333333</v>
      </c>
      <c r="G85" s="22">
        <f t="shared" ca="1" si="20"/>
        <v>540814.49</v>
      </c>
      <c r="H85" s="66">
        <f t="shared" si="21"/>
        <v>4.0916666666666662E-3</v>
      </c>
      <c r="I85" s="22">
        <f t="shared" ca="1" si="22"/>
        <v>120644048.22</v>
      </c>
      <c r="L85" s="8">
        <f t="shared" si="17"/>
        <v>306</v>
      </c>
    </row>
    <row r="86" spans="1:12">
      <c r="A86" s="8">
        <f t="shared" si="23"/>
        <v>307</v>
      </c>
      <c r="B86" t="s">
        <v>436</v>
      </c>
      <c r="C86" s="30">
        <f>'1-BaseTRR'!$G$1</f>
        <v>2023</v>
      </c>
      <c r="D86" s="22">
        <f t="shared" ca="1" si="24"/>
        <v>120644048.22</v>
      </c>
      <c r="E86" s="22">
        <f t="shared" si="18"/>
        <v>-24142772.416666668</v>
      </c>
      <c r="F86" s="22">
        <f t="shared" ca="1" si="19"/>
        <v>96501275.803333327</v>
      </c>
      <c r="G86" s="22">
        <f t="shared" ca="1" si="20"/>
        <v>444243.14</v>
      </c>
      <c r="H86" s="66">
        <f t="shared" si="21"/>
        <v>4.0916666666666662E-3</v>
      </c>
      <c r="I86" s="22">
        <f t="shared" ca="1" si="22"/>
        <v>96945518.939999998</v>
      </c>
      <c r="L86" s="8">
        <f t="shared" si="17"/>
        <v>307</v>
      </c>
    </row>
    <row r="87" spans="1:12">
      <c r="A87" s="8">
        <f t="shared" si="23"/>
        <v>308</v>
      </c>
      <c r="B87" t="s">
        <v>437</v>
      </c>
      <c r="C87" s="30">
        <f>'1-BaseTRR'!$G$1</f>
        <v>2023</v>
      </c>
      <c r="D87" s="22">
        <f t="shared" ca="1" si="24"/>
        <v>96945518.939999998</v>
      </c>
      <c r="E87" s="22">
        <f t="shared" si="18"/>
        <v>-24142772.416666668</v>
      </c>
      <c r="F87" s="22">
        <f t="shared" ca="1" si="19"/>
        <v>72802746.523333326</v>
      </c>
      <c r="G87" s="22">
        <f t="shared" ca="1" si="20"/>
        <v>347276.66</v>
      </c>
      <c r="H87" s="66">
        <f t="shared" si="21"/>
        <v>4.0916666666666662E-3</v>
      </c>
      <c r="I87" s="22">
        <f t="shared" ca="1" si="22"/>
        <v>73150023.180000007</v>
      </c>
      <c r="L87" s="8">
        <f t="shared" si="17"/>
        <v>308</v>
      </c>
    </row>
    <row r="88" spans="1:12">
      <c r="A88" s="8">
        <f t="shared" si="23"/>
        <v>309</v>
      </c>
      <c r="B88" t="s">
        <v>438</v>
      </c>
      <c r="C88" s="30">
        <f>'1-BaseTRR'!$G$1</f>
        <v>2023</v>
      </c>
      <c r="D88" s="22">
        <f t="shared" ca="1" si="24"/>
        <v>73150023.180000007</v>
      </c>
      <c r="E88" s="22">
        <f t="shared" si="18"/>
        <v>-24142772.416666668</v>
      </c>
      <c r="F88" s="22">
        <f t="shared" ca="1" si="19"/>
        <v>49007250.763333336</v>
      </c>
      <c r="G88" s="22">
        <f t="shared" ca="1" si="20"/>
        <v>249913.42</v>
      </c>
      <c r="H88" s="66">
        <f t="shared" si="21"/>
        <v>4.0916666666666662E-3</v>
      </c>
      <c r="I88" s="22">
        <f t="shared" ca="1" si="22"/>
        <v>49257164.18</v>
      </c>
      <c r="L88" s="8">
        <f t="shared" si="17"/>
        <v>309</v>
      </c>
    </row>
    <row r="89" spans="1:12">
      <c r="A89" s="8">
        <f t="shared" si="23"/>
        <v>310</v>
      </c>
      <c r="B89" t="s">
        <v>439</v>
      </c>
      <c r="C89" s="30">
        <f>'1-BaseTRR'!$G$1</f>
        <v>2023</v>
      </c>
      <c r="D89" s="22">
        <f t="shared" ca="1" si="24"/>
        <v>49257164.18</v>
      </c>
      <c r="E89" s="22">
        <f t="shared" si="18"/>
        <v>-24142772.416666668</v>
      </c>
      <c r="F89" s="22">
        <f t="shared" ca="1" si="19"/>
        <v>25114391.763333332</v>
      </c>
      <c r="G89" s="22">
        <f t="shared" ca="1" si="20"/>
        <v>152151.81</v>
      </c>
      <c r="H89" s="66">
        <f t="shared" si="21"/>
        <v>4.0916666666666662E-3</v>
      </c>
      <c r="I89" s="22">
        <f t="shared" ca="1" si="22"/>
        <v>25266543.57</v>
      </c>
      <c r="L89" s="8">
        <f t="shared" si="17"/>
        <v>310</v>
      </c>
    </row>
    <row r="90" spans="1:12">
      <c r="A90" s="8">
        <f t="shared" si="23"/>
        <v>311</v>
      </c>
      <c r="B90" t="s">
        <v>428</v>
      </c>
      <c r="C90" s="30">
        <f>'1-BaseTRR'!$G$1</f>
        <v>2023</v>
      </c>
      <c r="D90" s="22">
        <f t="shared" ca="1" si="24"/>
        <v>25266543.57</v>
      </c>
      <c r="E90" s="22">
        <f t="shared" si="18"/>
        <v>-24142772.416666668</v>
      </c>
      <c r="F90" s="22">
        <f t="shared" ca="1" si="19"/>
        <v>1123771.1533333324</v>
      </c>
      <c r="G90" s="22">
        <f t="shared" ca="1" si="20"/>
        <v>53990.19</v>
      </c>
      <c r="H90" s="66">
        <f t="shared" si="21"/>
        <v>4.0916666666666662E-3</v>
      </c>
      <c r="I90" s="22">
        <f t="shared" ca="1" si="22"/>
        <v>1177761.3400000001</v>
      </c>
      <c r="L90" s="8">
        <f t="shared" si="17"/>
        <v>311</v>
      </c>
    </row>
    <row r="91" spans="1:12">
      <c r="A91" s="8">
        <f t="shared" si="23"/>
        <v>312</v>
      </c>
      <c r="D91" s="15" t="s">
        <v>451</v>
      </c>
      <c r="E91" s="669">
        <v>-289713269</v>
      </c>
      <c r="G91" s="37"/>
      <c r="H91" s="67"/>
      <c r="L91" s="8">
        <f t="shared" si="17"/>
        <v>312</v>
      </c>
    </row>
    <row r="93" spans="1:12">
      <c r="B93" s="58" t="s">
        <v>452</v>
      </c>
      <c r="C93" s="55"/>
      <c r="D93" s="55"/>
      <c r="E93" s="55"/>
      <c r="F93" s="55"/>
      <c r="G93" s="55"/>
      <c r="H93" s="55"/>
      <c r="I93" s="55"/>
      <c r="J93" s="55"/>
      <c r="K93" s="55"/>
    </row>
    <row r="94" spans="1:12">
      <c r="A94" s="13" t="s">
        <v>100</v>
      </c>
      <c r="B94" s="13" t="s">
        <v>453</v>
      </c>
      <c r="C94" s="13" t="s">
        <v>135</v>
      </c>
      <c r="L94" s="13" t="str">
        <f>A94</f>
        <v>Line</v>
      </c>
    </row>
    <row r="95" spans="1:12">
      <c r="A95" s="8">
        <v>400</v>
      </c>
      <c r="B95" s="22">
        <f>-E91</f>
        <v>289713269</v>
      </c>
      <c r="C95" t="str">
        <f>"Negative Line "&amp;A91&amp;", "&amp;E74&amp;""</f>
        <v>Negative Line 312, Col 3</v>
      </c>
      <c r="L95" s="8">
        <f t="shared" ref="L95" si="25">A95</f>
        <v>400</v>
      </c>
    </row>
    <row r="97" spans="1:12">
      <c r="A97" s="8"/>
      <c r="B97" s="58" t="s">
        <v>454</v>
      </c>
      <c r="C97" s="55"/>
      <c r="D97" s="59"/>
      <c r="E97" s="60"/>
      <c r="F97" s="55"/>
      <c r="G97" s="60"/>
      <c r="H97" s="55"/>
      <c r="I97" s="60"/>
      <c r="J97" s="60"/>
      <c r="K97" s="60"/>
    </row>
    <row r="98" spans="1:12">
      <c r="A98" s="8"/>
      <c r="B98" s="11" t="s">
        <v>441</v>
      </c>
      <c r="D98" s="40"/>
      <c r="E98" s="20"/>
      <c r="G98" s="20"/>
      <c r="I98" s="20"/>
      <c r="J98" s="20"/>
      <c r="K98" s="20"/>
    </row>
    <row r="99" spans="1:12">
      <c r="A99" s="8"/>
      <c r="B99" s="835" t="str">
        <f>"1) On Line "&amp;$A$102&amp;", Input 'No' for a Full Year True-up, otherwise Input 'Yes' for a Partial Year True-up"</f>
        <v>1) On Line 500, Input 'No' for a Full Year True-up, otherwise Input 'Yes' for a Partial Year True-up</v>
      </c>
      <c r="C99" s="835"/>
      <c r="D99" s="835"/>
      <c r="E99" s="835"/>
      <c r="F99" s="835"/>
      <c r="G99" s="835"/>
      <c r="H99" s="835"/>
      <c r="I99" s="835"/>
      <c r="J99" s="835"/>
      <c r="K99" s="835"/>
    </row>
    <row r="100" spans="1:12">
      <c r="A100" s="8"/>
      <c r="B100" s="835" t="str">
        <f>"2) If Line "&amp;$A$102&amp;" is 'Yes', Input 'Yes' or 'No'  in "&amp;$F$104&amp;" for each month that the Formula Rate was in effect in the Prior Year and Input the True-up TRR Allocation Factors into "&amp;D104&amp;"."</f>
        <v>2) If Line 500 is 'Yes', Input 'Yes' or 'No'  in Col 4 for each month that the Formula Rate was in effect in the Prior Year and Input the True-up TRR Allocation Factors into Col 2.</v>
      </c>
      <c r="C100" s="835"/>
      <c r="D100" s="835"/>
      <c r="E100" s="835"/>
      <c r="F100" s="835"/>
      <c r="G100" s="835"/>
      <c r="H100" s="835"/>
      <c r="I100" s="835"/>
      <c r="J100" s="835"/>
      <c r="K100" s="835"/>
    </row>
    <row r="101" spans="1:12">
      <c r="A101" s="13" t="s">
        <v>100</v>
      </c>
      <c r="D101" s="40"/>
      <c r="E101" s="20"/>
      <c r="G101" s="20"/>
      <c r="I101" s="20"/>
      <c r="J101" s="20"/>
      <c r="K101" s="20"/>
      <c r="L101" s="13" t="str">
        <f>A101</f>
        <v>Line</v>
      </c>
    </row>
    <row r="102" spans="1:12">
      <c r="A102" s="8">
        <v>500</v>
      </c>
      <c r="B102" s="14" t="s">
        <v>455</v>
      </c>
      <c r="D102" s="56" t="s">
        <v>456</v>
      </c>
      <c r="L102" s="8">
        <f>A102</f>
        <v>500</v>
      </c>
    </row>
    <row r="103" spans="1:12">
      <c r="A103" s="8"/>
      <c r="D103" s="40"/>
      <c r="E103" s="20"/>
      <c r="G103" s="20"/>
      <c r="I103" s="20"/>
      <c r="J103" s="20"/>
      <c r="K103" s="20"/>
    </row>
    <row r="104" spans="1:12">
      <c r="A104" s="8"/>
      <c r="C104" s="8" t="s">
        <v>371</v>
      </c>
      <c r="D104" s="8" t="s">
        <v>372</v>
      </c>
      <c r="E104" s="8" t="s">
        <v>373</v>
      </c>
      <c r="F104" s="8" t="s">
        <v>374</v>
      </c>
      <c r="I104" s="20"/>
      <c r="J104" s="20"/>
      <c r="K104" s="20"/>
    </row>
    <row r="105" spans="1:12">
      <c r="A105" s="8"/>
      <c r="C105" s="8"/>
      <c r="D105" s="30" t="s">
        <v>457</v>
      </c>
      <c r="E105" s="30" t="s">
        <v>458</v>
      </c>
      <c r="F105" s="30"/>
      <c r="I105" s="20"/>
      <c r="J105" s="20"/>
      <c r="K105" s="20"/>
    </row>
    <row r="106" spans="1:12">
      <c r="A106" s="8"/>
      <c r="B106" s="12"/>
      <c r="C106" s="8"/>
      <c r="D106" s="61" t="s">
        <v>421</v>
      </c>
      <c r="E106" s="8" t="s">
        <v>459</v>
      </c>
      <c r="F106" s="65" t="s">
        <v>460</v>
      </c>
      <c r="I106" s="20"/>
      <c r="J106" s="20"/>
      <c r="K106" s="20"/>
    </row>
    <row r="107" spans="1:12">
      <c r="B107" s="13" t="s">
        <v>384</v>
      </c>
      <c r="C107" s="13" t="s">
        <v>461</v>
      </c>
      <c r="D107" s="13" t="s">
        <v>462</v>
      </c>
      <c r="E107" s="317" t="s">
        <v>463</v>
      </c>
      <c r="F107" s="62" t="s">
        <v>464</v>
      </c>
      <c r="H107" s="20"/>
      <c r="J107" s="20"/>
      <c r="K107" s="20"/>
    </row>
    <row r="108" spans="1:12">
      <c r="A108" s="8">
        <f>A102+1</f>
        <v>501</v>
      </c>
      <c r="B108" t="s">
        <v>430</v>
      </c>
      <c r="C108" s="30">
        <f t="shared" ref="C108:C119" si="26">C45</f>
        <v>2021</v>
      </c>
      <c r="D108" s="514">
        <f t="shared" ref="D108:D119" si="27">E108/$E$120</f>
        <v>7.6573388729432715E-2</v>
      </c>
      <c r="E108" s="568">
        <v>6822193.32992878</v>
      </c>
      <c r="F108" s="63"/>
      <c r="H108" s="20"/>
      <c r="J108" s="20"/>
      <c r="K108" s="20"/>
      <c r="L108" s="8">
        <f t="shared" ref="L108:L119" si="28">A108</f>
        <v>501</v>
      </c>
    </row>
    <row r="109" spans="1:12">
      <c r="A109" s="8">
        <f>A108+1</f>
        <v>502</v>
      </c>
      <c r="B109" t="s">
        <v>431</v>
      </c>
      <c r="C109" s="30">
        <f t="shared" si="26"/>
        <v>2021</v>
      </c>
      <c r="D109" s="514">
        <f t="shared" si="27"/>
        <v>6.760913995561621E-2</v>
      </c>
      <c r="E109" s="568">
        <v>6023536.7834796803</v>
      </c>
      <c r="F109" s="63"/>
      <c r="H109" s="20"/>
      <c r="J109" s="20"/>
      <c r="K109" s="20"/>
      <c r="L109" s="8">
        <f t="shared" si="28"/>
        <v>502</v>
      </c>
    </row>
    <row r="110" spans="1:12">
      <c r="A110" s="8">
        <f t="shared" ref="A110:A120" si="29">A109+1</f>
        <v>503</v>
      </c>
      <c r="B110" t="s">
        <v>432</v>
      </c>
      <c r="C110" s="30">
        <f t="shared" si="26"/>
        <v>2021</v>
      </c>
      <c r="D110" s="514">
        <f t="shared" si="27"/>
        <v>7.6027314995811224E-2</v>
      </c>
      <c r="E110" s="568">
        <v>6773541.6946155597</v>
      </c>
      <c r="F110" s="63"/>
      <c r="H110" s="20"/>
      <c r="J110" s="20"/>
      <c r="K110" s="20"/>
      <c r="L110" s="8">
        <f t="shared" si="28"/>
        <v>503</v>
      </c>
    </row>
    <row r="111" spans="1:12">
      <c r="A111" s="8">
        <f t="shared" si="29"/>
        <v>504</v>
      </c>
      <c r="B111" t="s">
        <v>433</v>
      </c>
      <c r="C111" s="30">
        <f t="shared" si="26"/>
        <v>2021</v>
      </c>
      <c r="D111" s="514">
        <f t="shared" si="27"/>
        <v>7.4860246708207581E-2</v>
      </c>
      <c r="E111" s="568">
        <v>6669563.4638049304</v>
      </c>
      <c r="F111" s="63"/>
      <c r="H111" s="20"/>
      <c r="J111" s="20"/>
      <c r="K111" s="20"/>
      <c r="L111" s="8">
        <f t="shared" si="28"/>
        <v>504</v>
      </c>
    </row>
    <row r="112" spans="1:12">
      <c r="A112" s="8">
        <f t="shared" si="29"/>
        <v>505</v>
      </c>
      <c r="B112" t="s">
        <v>395</v>
      </c>
      <c r="C112" s="30">
        <f t="shared" si="26"/>
        <v>2021</v>
      </c>
      <c r="D112" s="514">
        <f t="shared" si="27"/>
        <v>8.4538204298597985E-2</v>
      </c>
      <c r="E112" s="568">
        <v>7531806.8464739397</v>
      </c>
      <c r="F112" s="63"/>
      <c r="H112" s="20"/>
      <c r="J112" s="20"/>
      <c r="K112" s="20"/>
      <c r="L112" s="8">
        <f t="shared" si="28"/>
        <v>505</v>
      </c>
    </row>
    <row r="113" spans="1:12">
      <c r="A113" s="8">
        <f t="shared" si="29"/>
        <v>506</v>
      </c>
      <c r="B113" t="s">
        <v>434</v>
      </c>
      <c r="C113" s="30">
        <f t="shared" si="26"/>
        <v>2021</v>
      </c>
      <c r="D113" s="514">
        <f t="shared" si="27"/>
        <v>9.4809075163439976E-2</v>
      </c>
      <c r="E113" s="568">
        <v>8446874.9643846191</v>
      </c>
      <c r="F113" s="63"/>
      <c r="H113" s="20"/>
      <c r="J113" s="20"/>
      <c r="K113" s="20"/>
      <c r="L113" s="8">
        <f t="shared" si="28"/>
        <v>506</v>
      </c>
    </row>
    <row r="114" spans="1:12">
      <c r="A114" s="8">
        <f t="shared" si="29"/>
        <v>507</v>
      </c>
      <c r="B114" t="s">
        <v>435</v>
      </c>
      <c r="C114" s="30">
        <f t="shared" si="26"/>
        <v>2021</v>
      </c>
      <c r="D114" s="514">
        <f t="shared" si="27"/>
        <v>0.10438912310663749</v>
      </c>
      <c r="E114" s="568">
        <v>9300395.2311892491</v>
      </c>
      <c r="F114" s="63"/>
      <c r="H114" s="20"/>
      <c r="J114" s="20"/>
      <c r="K114" s="20"/>
      <c r="L114" s="8">
        <f t="shared" si="28"/>
        <v>507</v>
      </c>
    </row>
    <row r="115" spans="1:12">
      <c r="A115" s="8">
        <f t="shared" si="29"/>
        <v>508</v>
      </c>
      <c r="B115" t="s">
        <v>436</v>
      </c>
      <c r="C115" s="30">
        <f t="shared" si="26"/>
        <v>2021</v>
      </c>
      <c r="D115" s="514">
        <f t="shared" si="27"/>
        <v>9.9697964585816728E-2</v>
      </c>
      <c r="E115" s="568">
        <v>8882443.3695644997</v>
      </c>
      <c r="F115" s="63"/>
      <c r="H115" s="20"/>
      <c r="J115" s="20"/>
      <c r="K115" s="20"/>
      <c r="L115" s="8">
        <f t="shared" si="28"/>
        <v>508</v>
      </c>
    </row>
    <row r="116" spans="1:12">
      <c r="A116" s="8">
        <f t="shared" si="29"/>
        <v>509</v>
      </c>
      <c r="B116" t="s">
        <v>437</v>
      </c>
      <c r="C116" s="30">
        <f t="shared" si="26"/>
        <v>2021</v>
      </c>
      <c r="D116" s="514">
        <f t="shared" si="27"/>
        <v>8.990476428275046E-2</v>
      </c>
      <c r="E116" s="568">
        <v>8009932.6070813602</v>
      </c>
      <c r="F116" s="63"/>
      <c r="H116" s="20"/>
      <c r="J116" s="20"/>
      <c r="K116" s="20"/>
      <c r="L116" s="8">
        <f t="shared" si="28"/>
        <v>509</v>
      </c>
    </row>
    <row r="117" spans="1:12">
      <c r="A117" s="8">
        <f t="shared" si="29"/>
        <v>510</v>
      </c>
      <c r="B117" t="s">
        <v>438</v>
      </c>
      <c r="C117" s="30">
        <f t="shared" si="26"/>
        <v>2021</v>
      </c>
      <c r="D117" s="514">
        <f t="shared" si="27"/>
        <v>7.8312697723224065E-2</v>
      </c>
      <c r="E117" s="568">
        <v>6977154.5039478103</v>
      </c>
      <c r="F117" s="63"/>
      <c r="L117" s="8">
        <f t="shared" si="28"/>
        <v>510</v>
      </c>
    </row>
    <row r="118" spans="1:12">
      <c r="A118" s="8">
        <f t="shared" si="29"/>
        <v>511</v>
      </c>
      <c r="B118" t="s">
        <v>439</v>
      </c>
      <c r="C118" s="30">
        <f t="shared" si="26"/>
        <v>2021</v>
      </c>
      <c r="D118" s="514">
        <f t="shared" si="27"/>
        <v>7.2534493844453651E-2</v>
      </c>
      <c r="E118" s="568">
        <v>6462353.9366122801</v>
      </c>
      <c r="F118" s="63"/>
      <c r="L118" s="8">
        <f t="shared" si="28"/>
        <v>511</v>
      </c>
    </row>
    <row r="119" spans="1:12">
      <c r="A119" s="8">
        <f t="shared" si="29"/>
        <v>512</v>
      </c>
      <c r="B119" t="s">
        <v>428</v>
      </c>
      <c r="C119" s="30">
        <f t="shared" si="26"/>
        <v>2021</v>
      </c>
      <c r="D119" s="567">
        <f t="shared" si="27"/>
        <v>8.0743586606011941E-2</v>
      </c>
      <c r="E119" s="569">
        <v>7193730.9699646402</v>
      </c>
      <c r="F119" s="63"/>
      <c r="L119" s="8">
        <f t="shared" si="28"/>
        <v>512</v>
      </c>
    </row>
    <row r="120" spans="1:12">
      <c r="A120" s="8">
        <f t="shared" si="29"/>
        <v>513</v>
      </c>
      <c r="B120" s="15" t="s">
        <v>465</v>
      </c>
      <c r="D120" s="577">
        <f>SUM(D108:D119)</f>
        <v>1</v>
      </c>
      <c r="E120" s="243">
        <f>SUM(E108:E119)</f>
        <v>89093527.701047346</v>
      </c>
      <c r="L120" s="8">
        <f t="shared" ref="L120" si="30">A120</f>
        <v>513</v>
      </c>
    </row>
    <row r="122" spans="1:12">
      <c r="B122" s="58" t="s">
        <v>466</v>
      </c>
      <c r="C122" s="55"/>
      <c r="D122" s="55"/>
      <c r="E122" s="55"/>
      <c r="F122" s="55"/>
      <c r="G122" s="55"/>
      <c r="H122" s="55"/>
      <c r="I122" s="55"/>
      <c r="J122" s="55"/>
      <c r="K122" s="55"/>
    </row>
    <row r="123" spans="1:12">
      <c r="B123" s="11" t="s">
        <v>441</v>
      </c>
    </row>
    <row r="124" spans="1:12">
      <c r="B124" s="840" t="s">
        <v>467</v>
      </c>
      <c r="C124" s="840"/>
      <c r="D124" s="840"/>
      <c r="E124" s="840"/>
      <c r="F124" s="840"/>
      <c r="G124" s="840"/>
      <c r="H124" s="840"/>
      <c r="I124" s="840"/>
      <c r="J124" s="840"/>
      <c r="K124" s="840"/>
    </row>
    <row r="125" spans="1:12">
      <c r="B125" s="840"/>
      <c r="C125" s="840"/>
      <c r="D125" s="840"/>
      <c r="E125" s="840"/>
      <c r="F125" s="840"/>
      <c r="G125" s="840"/>
      <c r="H125" s="840"/>
      <c r="I125" s="840"/>
      <c r="J125" s="840"/>
      <c r="K125" s="840"/>
    </row>
    <row r="126" spans="1:12">
      <c r="B126" s="841" t="s">
        <v>468</v>
      </c>
      <c r="C126" s="841"/>
      <c r="D126" s="841"/>
      <c r="E126" s="841"/>
      <c r="F126" s="841"/>
      <c r="G126" s="841"/>
      <c r="H126" s="841"/>
      <c r="I126" s="841"/>
      <c r="J126" s="841"/>
      <c r="K126" s="841"/>
    </row>
    <row r="129" spans="2:11">
      <c r="B129" s="16" t="s">
        <v>306</v>
      </c>
    </row>
    <row r="130" spans="2:11">
      <c r="B130" s="834" t="s">
        <v>469</v>
      </c>
      <c r="C130" s="834"/>
      <c r="D130" s="834"/>
      <c r="E130" s="834"/>
      <c r="F130" s="834"/>
      <c r="G130" s="834"/>
      <c r="H130" s="834"/>
      <c r="I130" s="834"/>
      <c r="J130" s="834"/>
      <c r="K130" s="834"/>
    </row>
    <row r="131" spans="2:11">
      <c r="B131" s="834"/>
      <c r="C131" s="834"/>
      <c r="D131" s="834"/>
      <c r="E131" s="834"/>
      <c r="F131" s="834"/>
      <c r="G131" s="834"/>
      <c r="H131" s="834"/>
      <c r="I131" s="834"/>
      <c r="J131" s="834"/>
      <c r="K131" s="834"/>
    </row>
    <row r="132" spans="2:11">
      <c r="B132" s="834" t="s">
        <v>470</v>
      </c>
      <c r="C132" s="834"/>
      <c r="D132" s="834"/>
      <c r="E132" s="834"/>
      <c r="F132" s="834"/>
      <c r="G132" s="834"/>
      <c r="H132" s="834"/>
      <c r="I132" s="834"/>
      <c r="J132" s="834"/>
      <c r="K132" s="834"/>
    </row>
    <row r="133" spans="2:11">
      <c r="B133" s="834"/>
      <c r="C133" s="834"/>
      <c r="D133" s="834"/>
      <c r="E133" s="834"/>
      <c r="F133" s="834"/>
      <c r="G133" s="834"/>
      <c r="H133" s="834"/>
      <c r="I133" s="834"/>
      <c r="J133" s="834"/>
      <c r="K133" s="834"/>
    </row>
    <row r="134" spans="2:11" ht="15" customHeight="1">
      <c r="B134" s="834" t="str">
        <f>"3) For each month of the Prior Year, the Monthly True-up TRR is calculated by multiplying the True-up TRR on Line "&amp;A36&amp;" by monthly allocation factors from Lines "&amp;A108&amp;" to "&amp;A119&amp;", "&amp;D104&amp;"."</f>
        <v>3) For each month of the Prior Year, the Monthly True-up TRR is calculated by multiplying the True-up TRR on Line 200 by monthly allocation factors from Lines 501 to 512, Col 2.</v>
      </c>
      <c r="C134" s="834"/>
      <c r="D134" s="834"/>
      <c r="E134" s="834"/>
      <c r="F134" s="834"/>
      <c r="G134" s="834"/>
      <c r="H134" s="834"/>
      <c r="I134" s="834"/>
      <c r="J134" s="834"/>
      <c r="K134" s="834"/>
    </row>
    <row r="135" spans="2:11" ht="15" customHeight="1">
      <c r="B135" s="834" t="str">
        <f>"4) The Retail Transmission Revenues are from Lines "&amp;A13&amp;" to "&amp;A24&amp;", "&amp;C9&amp;".  For a partial year true-up, only revenues for the months that the Formula Rate was in effect in the Prior Year are included."</f>
        <v>4) The Retail Transmission Revenues are from Lines 100 to 111, Col 1.  For a partial year true-up, only revenues for the months that the Formula Rate was in effect in the Prior Year are included.</v>
      </c>
      <c r="C135" s="834"/>
      <c r="D135" s="834"/>
      <c r="E135" s="834"/>
      <c r="F135" s="834"/>
      <c r="G135" s="834"/>
      <c r="H135" s="834"/>
      <c r="I135" s="834"/>
      <c r="J135" s="834"/>
      <c r="K135" s="834"/>
    </row>
    <row r="136" spans="2:11">
      <c r="B136" s="834"/>
      <c r="C136" s="834"/>
      <c r="D136" s="834"/>
      <c r="E136" s="834"/>
      <c r="F136" s="834"/>
      <c r="G136" s="834"/>
      <c r="H136" s="834"/>
      <c r="I136" s="834"/>
      <c r="J136" s="834"/>
      <c r="K136" s="834"/>
    </row>
    <row r="137" spans="2:11">
      <c r="B137" s="835" t="s">
        <v>471</v>
      </c>
      <c r="C137" s="835"/>
      <c r="D137" s="835"/>
      <c r="E137" s="835"/>
      <c r="F137" s="835"/>
      <c r="G137" s="835"/>
      <c r="H137" s="835"/>
      <c r="I137" s="835"/>
      <c r="J137" s="835"/>
      <c r="K137" s="835"/>
    </row>
    <row r="138" spans="2:11">
      <c r="B138" s="835" t="s">
        <v>472</v>
      </c>
      <c r="C138" s="835"/>
      <c r="D138" s="835"/>
      <c r="E138" s="835"/>
      <c r="F138" s="835"/>
      <c r="G138" s="835"/>
      <c r="H138" s="835"/>
      <c r="I138" s="835"/>
      <c r="J138" s="835"/>
      <c r="K138" s="835"/>
    </row>
    <row r="139" spans="2:11">
      <c r="B139" s="834" t="s">
        <v>473</v>
      </c>
      <c r="C139" s="834"/>
      <c r="D139" s="834"/>
      <c r="E139" s="834"/>
      <c r="F139" s="834"/>
      <c r="G139" s="834"/>
      <c r="H139" s="834"/>
      <c r="I139" s="834"/>
      <c r="J139" s="834"/>
      <c r="K139" s="834"/>
    </row>
    <row r="140" spans="2:11">
      <c r="B140" s="834"/>
      <c r="C140" s="834"/>
      <c r="D140" s="834"/>
      <c r="E140" s="834"/>
      <c r="F140" s="834"/>
      <c r="G140" s="834"/>
      <c r="H140" s="834"/>
      <c r="I140" s="834"/>
      <c r="J140" s="834"/>
      <c r="K140" s="834"/>
    </row>
    <row r="141" spans="2:11">
      <c r="B141" s="835" t="s">
        <v>474</v>
      </c>
      <c r="C141" s="835"/>
      <c r="D141" s="835"/>
      <c r="E141" s="835"/>
      <c r="F141" s="835"/>
      <c r="G141" s="835"/>
      <c r="H141" s="835"/>
      <c r="I141" s="835"/>
      <c r="J141" s="835"/>
      <c r="K141" s="835"/>
    </row>
    <row r="142" spans="2:11">
      <c r="B142" s="835" t="str">
        <f>"9) The January 'Month Beginning Balance' on Line "&amp;A79&amp;", "&amp;D74&amp;" is equal to the 'Cumulative Excess or Shortall in Revenue with Interest' from Line "&amp;A68&amp;", "&amp;K38&amp;"."</f>
        <v>9) The January 'Month Beginning Balance' on Line 300, Col 2 is equal to the 'Cumulative Excess or Shortall in Revenue with Interest' from Line 225, Col 9.</v>
      </c>
      <c r="C142" s="835"/>
      <c r="D142" s="835"/>
      <c r="E142" s="835"/>
      <c r="F142" s="835"/>
      <c r="G142" s="835"/>
      <c r="H142" s="835"/>
      <c r="I142" s="835"/>
      <c r="J142" s="835"/>
      <c r="K142" s="835"/>
    </row>
    <row r="143" spans="2:11">
      <c r="B143" s="834" t="str">
        <f>"10) 'Interest for the Current Month' ("&amp;G74&amp;") is based on the average of the 'Month Beginning Balance' ("&amp;D74&amp;") and the 'Month Ending Balancing without Interest' ("&amp;F74&amp;"), multiplied by the 'Monthly Interest Rate' ("&amp;H74&amp;")."</f>
        <v>10) 'Interest for the Current Month' (Col 5) is based on the average of the 'Month Beginning Balance' (Col 2) and the 'Month Ending Balancing without Interest' (Col 4), multiplied by the 'Monthly Interest Rate' (Col 6).</v>
      </c>
      <c r="C143" s="834"/>
      <c r="D143" s="834"/>
      <c r="E143" s="834"/>
      <c r="F143" s="834"/>
      <c r="G143" s="834"/>
      <c r="H143" s="834"/>
      <c r="I143" s="834"/>
      <c r="J143" s="834"/>
      <c r="K143" s="834"/>
    </row>
    <row r="144" spans="2:11">
      <c r="B144" s="834"/>
      <c r="C144" s="834"/>
      <c r="D144" s="834"/>
      <c r="E144" s="834"/>
      <c r="F144" s="834"/>
      <c r="G144" s="834"/>
      <c r="H144" s="834"/>
      <c r="I144" s="834"/>
      <c r="J144" s="834"/>
      <c r="K144" s="834"/>
    </row>
    <row r="145" spans="2:11">
      <c r="B145" s="835" t="str">
        <f>"11) The 'Monthly Interest Rate' is the last known FERC interest rate from Line "&amp;A68&amp;", "&amp;H38&amp;"."</f>
        <v>11) The 'Monthly Interest Rate' is the last known FERC interest rate from Line 225, Col 6.</v>
      </c>
      <c r="C145" s="835"/>
      <c r="D145" s="835"/>
      <c r="E145" s="835"/>
      <c r="F145" s="835"/>
      <c r="G145" s="835"/>
      <c r="H145" s="835"/>
      <c r="I145" s="835"/>
      <c r="J145" s="835"/>
      <c r="K145" s="835"/>
    </row>
    <row r="146" spans="2:11" ht="15" customHeight="1">
      <c r="B146" s="840" t="s">
        <v>475</v>
      </c>
      <c r="C146" s="840"/>
      <c r="D146" s="840"/>
      <c r="E146" s="840"/>
      <c r="F146" s="840"/>
      <c r="G146" s="840"/>
      <c r="H146" s="840"/>
      <c r="I146" s="840"/>
      <c r="J146" s="840"/>
      <c r="K146" s="840"/>
    </row>
    <row r="147" spans="2:11">
      <c r="B147" s="834" t="s">
        <v>476</v>
      </c>
      <c r="C147" s="834"/>
      <c r="D147" s="834"/>
      <c r="E147" s="834"/>
      <c r="F147" s="834"/>
      <c r="G147" s="834"/>
      <c r="H147" s="834"/>
      <c r="I147" s="834"/>
      <c r="J147" s="834"/>
      <c r="K147" s="834"/>
    </row>
    <row r="160" spans="2:11">
      <c r="J160">
        <f>E160-D160</f>
        <v>0</v>
      </c>
    </row>
  </sheetData>
  <mergeCells count="23">
    <mergeCell ref="N53:O55"/>
    <mergeCell ref="B134:K134"/>
    <mergeCell ref="B146:K146"/>
    <mergeCell ref="B147:K147"/>
    <mergeCell ref="B100:K100"/>
    <mergeCell ref="B124:K125"/>
    <mergeCell ref="B126:K126"/>
    <mergeCell ref="B130:K131"/>
    <mergeCell ref="B145:K145"/>
    <mergeCell ref="B142:K142"/>
    <mergeCell ref="B143:K144"/>
    <mergeCell ref="B139:K140"/>
    <mergeCell ref="B137:K137"/>
    <mergeCell ref="B138:K138"/>
    <mergeCell ref="B141:K141"/>
    <mergeCell ref="B132:K133"/>
    <mergeCell ref="B135:K136"/>
    <mergeCell ref="B99:K99"/>
    <mergeCell ref="B6:K6"/>
    <mergeCell ref="B7:K7"/>
    <mergeCell ref="B31:K32"/>
    <mergeCell ref="B33:K33"/>
    <mergeCell ref="B72:K73"/>
  </mergeCells>
  <printOptions horizontalCentered="1"/>
  <pageMargins left="1" right="1" top="1" bottom="1" header="0.5" footer="0.5"/>
  <pageSetup scale="62"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rowBreaks count="1" manualBreakCount="1">
    <brk id="95" max="11" man="1"/>
  </rowBreaks>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C7F6B-5C04-471F-9D18-4A0D005004EB}">
  <sheetPr>
    <tabColor rgb="FFC00000"/>
    <pageSetUpPr fitToPage="1"/>
  </sheetPr>
  <dimension ref="A1:L160"/>
  <sheetViews>
    <sheetView tabSelected="1" view="pageBreakPreview" topLeftCell="A85" zoomScale="85" zoomScaleSheetLayoutView="85" zoomScalePageLayoutView="70" workbookViewId="0">
      <selection activeCell="E174" sqref="E174"/>
    </sheetView>
  </sheetViews>
  <sheetFormatPr defaultColWidth="9.1796875" defaultRowHeight="14.5"/>
  <cols>
    <col min="1" max="1" width="4.7265625" bestFit="1" customWidth="1"/>
    <col min="2" max="2" width="15.54296875" customWidth="1"/>
    <col min="3" max="3" width="15.453125" customWidth="1"/>
    <col min="4" max="4" width="17.26953125" customWidth="1"/>
    <col min="5" max="5" width="19.7265625" customWidth="1"/>
    <col min="6" max="6" width="18.54296875" bestFit="1" customWidth="1"/>
    <col min="7" max="7" width="18.54296875" customWidth="1"/>
    <col min="8" max="8" width="16.81640625" customWidth="1"/>
    <col min="9" max="9" width="15.453125" customWidth="1"/>
    <col min="10" max="10" width="13.453125" customWidth="1"/>
    <col min="11" max="11" width="25.1796875" customWidth="1"/>
    <col min="12" max="12" width="4.7265625" bestFit="1" customWidth="1"/>
  </cols>
  <sheetData>
    <row r="1" spans="1:12">
      <c r="B1" s="12" t="s">
        <v>14</v>
      </c>
      <c r="K1" s="15" t="s">
        <v>2097</v>
      </c>
    </row>
    <row r="2" spans="1:12">
      <c r="B2" s="47" t="s">
        <v>131</v>
      </c>
      <c r="K2" s="15" t="s">
        <v>2055</v>
      </c>
    </row>
    <row r="4" spans="1:12">
      <c r="B4" s="58" t="s">
        <v>369</v>
      </c>
      <c r="C4" s="55"/>
      <c r="D4" s="55"/>
      <c r="E4" s="55"/>
      <c r="F4" s="55"/>
      <c r="G4" s="55"/>
      <c r="H4" s="55"/>
      <c r="I4" s="55"/>
      <c r="J4" s="55"/>
      <c r="K4" s="55"/>
    </row>
    <row r="5" spans="1:12">
      <c r="B5" s="16" t="s">
        <v>350</v>
      </c>
    </row>
    <row r="6" spans="1:12">
      <c r="B6" s="835" t="s">
        <v>370</v>
      </c>
      <c r="C6" s="835"/>
      <c r="D6" s="835"/>
      <c r="E6" s="835"/>
      <c r="F6" s="835"/>
      <c r="G6" s="835"/>
      <c r="H6" s="835"/>
      <c r="I6" s="835"/>
      <c r="J6" s="835"/>
      <c r="K6" s="835"/>
    </row>
    <row r="7" spans="1:12">
      <c r="B7" s="835" t="s">
        <v>2098</v>
      </c>
      <c r="C7" s="835"/>
      <c r="D7" s="835"/>
      <c r="E7" s="835"/>
      <c r="F7" s="835"/>
      <c r="G7" s="835"/>
      <c r="H7" s="835"/>
      <c r="I7" s="835"/>
      <c r="J7" s="835"/>
      <c r="K7" s="835"/>
    </row>
    <row r="8" spans="1:12">
      <c r="B8" s="45"/>
      <c r="C8" s="45"/>
      <c r="D8" s="45"/>
      <c r="E8" s="45"/>
      <c r="F8" s="45"/>
      <c r="G8" s="45"/>
      <c r="H8" s="45"/>
      <c r="I8" s="45"/>
      <c r="J8" s="45"/>
      <c r="K8" s="45"/>
    </row>
    <row r="9" spans="1:12">
      <c r="B9" s="12"/>
      <c r="C9" s="13" t="s">
        <v>371</v>
      </c>
      <c r="D9" s="13" t="s">
        <v>372</v>
      </c>
      <c r="E9" s="13" t="s">
        <v>373</v>
      </c>
      <c r="F9" s="13" t="s">
        <v>374</v>
      </c>
      <c r="G9" s="13" t="s">
        <v>375</v>
      </c>
      <c r="H9" s="13" t="s">
        <v>376</v>
      </c>
      <c r="I9" s="13" t="s">
        <v>377</v>
      </c>
      <c r="J9" s="13" t="s">
        <v>378</v>
      </c>
    </row>
    <row r="10" spans="1:12">
      <c r="B10" s="12"/>
      <c r="C10" s="30" t="s">
        <v>111</v>
      </c>
      <c r="D10" s="30" t="s">
        <v>203</v>
      </c>
      <c r="E10" s="8"/>
      <c r="F10" s="8"/>
      <c r="G10" s="8"/>
      <c r="H10" s="8"/>
      <c r="I10" s="8"/>
      <c r="J10" s="30" t="s">
        <v>379</v>
      </c>
    </row>
    <row r="11" spans="1:12">
      <c r="B11" s="12"/>
      <c r="C11" s="8" t="s">
        <v>380</v>
      </c>
      <c r="D11" s="8" t="s">
        <v>381</v>
      </c>
      <c r="E11" s="8"/>
      <c r="F11" s="8"/>
      <c r="G11" s="8" t="s">
        <v>382</v>
      </c>
      <c r="H11" s="8" t="s">
        <v>383</v>
      </c>
      <c r="I11" s="8"/>
      <c r="J11" s="30"/>
    </row>
    <row r="12" spans="1:12">
      <c r="A12" s="13" t="s">
        <v>100</v>
      </c>
      <c r="B12" s="13" t="s">
        <v>384</v>
      </c>
      <c r="C12" s="13" t="s">
        <v>385</v>
      </c>
      <c r="D12" s="13" t="s">
        <v>385</v>
      </c>
      <c r="E12" s="13" t="s">
        <v>386</v>
      </c>
      <c r="F12" s="13" t="s">
        <v>387</v>
      </c>
      <c r="G12" s="13" t="s">
        <v>388</v>
      </c>
      <c r="H12" s="13" t="s">
        <v>389</v>
      </c>
      <c r="I12" s="13" t="s">
        <v>381</v>
      </c>
      <c r="J12" s="13" t="s">
        <v>390</v>
      </c>
      <c r="K12" s="13"/>
      <c r="L12" s="13" t="s">
        <v>100</v>
      </c>
    </row>
    <row r="13" spans="1:12">
      <c r="A13" s="8">
        <v>100</v>
      </c>
      <c r="B13" t="s">
        <v>391</v>
      </c>
      <c r="C13" s="52">
        <v>173865554</v>
      </c>
      <c r="D13" s="52">
        <v>17219651</v>
      </c>
      <c r="E13" s="52">
        <v>314506918</v>
      </c>
      <c r="F13" s="52">
        <v>385230765</v>
      </c>
      <c r="G13" s="52">
        <v>73457943</v>
      </c>
      <c r="H13" s="52">
        <v>6075472</v>
      </c>
      <c r="I13" s="52">
        <v>37771741</v>
      </c>
      <c r="J13" s="22">
        <v>1008128044</v>
      </c>
      <c r="K13" s="36"/>
      <c r="L13" s="8">
        <v>100</v>
      </c>
    </row>
    <row r="14" spans="1:12">
      <c r="A14" s="8">
        <v>101</v>
      </c>
      <c r="B14" t="s">
        <v>392</v>
      </c>
      <c r="C14" s="52">
        <v>155765406</v>
      </c>
      <c r="D14" s="52">
        <v>16238553</v>
      </c>
      <c r="E14" s="52">
        <v>287361328</v>
      </c>
      <c r="F14" s="52">
        <v>333501126</v>
      </c>
      <c r="G14" s="52">
        <v>68208389</v>
      </c>
      <c r="H14" s="52">
        <v>5087726</v>
      </c>
      <c r="I14" s="52">
        <v>33233336</v>
      </c>
      <c r="J14" s="22">
        <v>899395864</v>
      </c>
      <c r="K14" s="36"/>
      <c r="L14" s="8">
        <v>101</v>
      </c>
    </row>
    <row r="15" spans="1:12">
      <c r="A15" s="8">
        <v>102</v>
      </c>
      <c r="B15" t="s">
        <v>393</v>
      </c>
      <c r="C15" s="52">
        <v>181654753</v>
      </c>
      <c r="D15" s="52">
        <v>5743073</v>
      </c>
      <c r="E15" s="52">
        <v>354089630.20999998</v>
      </c>
      <c r="F15" s="52">
        <v>403418891.94999999</v>
      </c>
      <c r="G15" s="52">
        <v>84763010.540000007</v>
      </c>
      <c r="H15" s="52">
        <v>6036262</v>
      </c>
      <c r="I15" s="52">
        <v>39820390.300000004</v>
      </c>
      <c r="J15" s="22">
        <v>1075526011</v>
      </c>
      <c r="K15" s="36"/>
      <c r="L15" s="8">
        <v>102</v>
      </c>
    </row>
    <row r="16" spans="1:12">
      <c r="A16" s="8">
        <v>103</v>
      </c>
      <c r="B16" t="s">
        <v>394</v>
      </c>
      <c r="C16" s="52">
        <v>148368721</v>
      </c>
      <c r="D16" s="52">
        <v>-11993377</v>
      </c>
      <c r="E16" s="52">
        <v>261656237</v>
      </c>
      <c r="F16" s="52">
        <v>391310015</v>
      </c>
      <c r="G16" s="52">
        <v>86042877</v>
      </c>
      <c r="H16" s="52">
        <v>5837433</v>
      </c>
      <c r="I16" s="52">
        <v>38699356</v>
      </c>
      <c r="J16" s="22">
        <v>919921262</v>
      </c>
      <c r="K16" s="36"/>
      <c r="L16" s="8">
        <v>103</v>
      </c>
    </row>
    <row r="17" spans="1:12">
      <c r="A17" s="8">
        <v>104</v>
      </c>
      <c r="B17" t="s">
        <v>395</v>
      </c>
      <c r="C17" s="52">
        <v>170683066</v>
      </c>
      <c r="D17" s="52">
        <v>-12775036</v>
      </c>
      <c r="E17" s="52">
        <v>350384740</v>
      </c>
      <c r="F17" s="52">
        <v>389759964</v>
      </c>
      <c r="G17" s="52">
        <v>84375718</v>
      </c>
      <c r="H17" s="52">
        <v>5697613</v>
      </c>
      <c r="I17" s="52">
        <v>37910001</v>
      </c>
      <c r="J17" s="22">
        <v>1026036066</v>
      </c>
      <c r="K17" s="36"/>
      <c r="L17" s="8">
        <v>104</v>
      </c>
    </row>
    <row r="18" spans="1:12">
      <c r="A18" s="8">
        <v>105</v>
      </c>
      <c r="B18" t="s">
        <v>396</v>
      </c>
      <c r="C18" s="52">
        <v>206749749</v>
      </c>
      <c r="D18" s="52">
        <v>-15738147</v>
      </c>
      <c r="E18" s="52">
        <v>479990416</v>
      </c>
      <c r="F18" s="52">
        <v>526785710</v>
      </c>
      <c r="G18" s="52">
        <v>102064160</v>
      </c>
      <c r="H18" s="52">
        <v>6910820</v>
      </c>
      <c r="I18" s="52">
        <v>45724586</v>
      </c>
      <c r="J18" s="22">
        <v>1352487294</v>
      </c>
      <c r="K18" s="36"/>
      <c r="L18" s="8">
        <v>105</v>
      </c>
    </row>
    <row r="19" spans="1:12">
      <c r="A19" s="8">
        <v>106</v>
      </c>
      <c r="B19" t="s">
        <v>397</v>
      </c>
      <c r="C19" s="52">
        <v>222331409</v>
      </c>
      <c r="D19" s="52">
        <v>-16273762</v>
      </c>
      <c r="E19" s="52">
        <v>574441410</v>
      </c>
      <c r="F19" s="52">
        <v>619674700.99999988</v>
      </c>
      <c r="G19" s="52">
        <v>109464427</v>
      </c>
      <c r="H19" s="52">
        <v>7543146</v>
      </c>
      <c r="I19" s="52">
        <v>49025046</v>
      </c>
      <c r="J19" s="22">
        <v>1566206377</v>
      </c>
      <c r="K19" s="36"/>
      <c r="L19" s="8">
        <v>106</v>
      </c>
    </row>
    <row r="20" spans="1:12">
      <c r="A20" s="8">
        <v>107</v>
      </c>
      <c r="B20" t="s">
        <v>398</v>
      </c>
      <c r="C20" s="52">
        <v>229108231</v>
      </c>
      <c r="D20" s="52">
        <v>-17904227</v>
      </c>
      <c r="E20" s="52">
        <v>603692693</v>
      </c>
      <c r="F20" s="52">
        <v>642285468.00000012</v>
      </c>
      <c r="G20" s="52">
        <v>112019936</v>
      </c>
      <c r="H20" s="52">
        <v>7646100</v>
      </c>
      <c r="I20" s="52">
        <v>49693810</v>
      </c>
      <c r="J20" s="22">
        <v>1626542011</v>
      </c>
      <c r="K20" s="36"/>
      <c r="L20" s="8">
        <v>107</v>
      </c>
    </row>
    <row r="21" spans="1:12">
      <c r="A21" s="8">
        <v>108</v>
      </c>
      <c r="B21" t="s">
        <v>399</v>
      </c>
      <c r="C21" s="52">
        <v>213467464</v>
      </c>
      <c r="D21" s="52">
        <v>-16626098</v>
      </c>
      <c r="E21" s="52">
        <v>560572164</v>
      </c>
      <c r="F21" s="52">
        <v>587722929</v>
      </c>
      <c r="G21" s="52">
        <v>104295334</v>
      </c>
      <c r="H21" s="52">
        <v>7092825</v>
      </c>
      <c r="I21" s="52">
        <v>46327718</v>
      </c>
      <c r="J21" s="22">
        <v>1502852336</v>
      </c>
      <c r="K21" s="36"/>
      <c r="L21" s="8">
        <v>108</v>
      </c>
    </row>
    <row r="22" spans="1:12">
      <c r="A22" s="8">
        <v>109</v>
      </c>
      <c r="B22" t="s">
        <v>400</v>
      </c>
      <c r="C22" s="52">
        <v>185755778</v>
      </c>
      <c r="D22" s="52">
        <v>-14439866</v>
      </c>
      <c r="E22" s="52">
        <v>368441866</v>
      </c>
      <c r="F22" s="52">
        <v>477538375</v>
      </c>
      <c r="G22" s="52">
        <v>92197350</v>
      </c>
      <c r="H22" s="52">
        <v>6208965</v>
      </c>
      <c r="I22" s="52">
        <v>41161440</v>
      </c>
      <c r="J22" s="22">
        <v>1156863908</v>
      </c>
      <c r="K22" s="36"/>
      <c r="L22" s="8">
        <v>109</v>
      </c>
    </row>
    <row r="23" spans="1:12">
      <c r="A23" s="8">
        <v>110</v>
      </c>
      <c r="B23" t="s">
        <v>401</v>
      </c>
      <c r="C23" s="52">
        <v>164303834</v>
      </c>
      <c r="D23" s="52">
        <v>-13088561</v>
      </c>
      <c r="E23" s="52">
        <v>346609335</v>
      </c>
      <c r="F23" s="52">
        <v>386369633</v>
      </c>
      <c r="G23" s="52">
        <v>83158963</v>
      </c>
      <c r="H23" s="52">
        <v>5561053</v>
      </c>
      <c r="I23" s="52">
        <v>37273880</v>
      </c>
      <c r="J23" s="22">
        <v>1010188137</v>
      </c>
      <c r="K23" s="36"/>
      <c r="L23" s="8">
        <v>110</v>
      </c>
    </row>
    <row r="24" spans="1:12">
      <c r="A24" s="8">
        <v>111</v>
      </c>
      <c r="B24" t="s">
        <v>402</v>
      </c>
      <c r="C24" s="52">
        <v>192160386</v>
      </c>
      <c r="D24" s="52">
        <v>-15091043.460000001</v>
      </c>
      <c r="E24" s="52">
        <v>402899601.89999998</v>
      </c>
      <c r="F24" s="52">
        <v>437026120.41000015</v>
      </c>
      <c r="G24" s="52">
        <v>95120241.270000011</v>
      </c>
      <c r="H24" s="52">
        <v>6393656</v>
      </c>
      <c r="I24" s="52">
        <v>44851157.899999999</v>
      </c>
      <c r="J24" s="22">
        <v>1163360120.0200002</v>
      </c>
      <c r="K24" s="36"/>
      <c r="L24" s="8">
        <v>111</v>
      </c>
    </row>
    <row r="25" spans="1:12">
      <c r="A25" s="8">
        <v>112</v>
      </c>
      <c r="B25" t="s">
        <v>403</v>
      </c>
      <c r="C25" s="24">
        <v>2244214351</v>
      </c>
      <c r="D25" s="24">
        <v>-94728840.460000008</v>
      </c>
      <c r="E25" s="24">
        <v>4904646339.1099997</v>
      </c>
      <c r="F25" s="24">
        <v>5580623698.3599997</v>
      </c>
      <c r="G25" s="24">
        <v>1095168348.8099999</v>
      </c>
      <c r="H25" s="24">
        <v>76091071</v>
      </c>
      <c r="I25" s="24">
        <v>501492462.19999999</v>
      </c>
      <c r="J25" s="24">
        <v>14307507430.02</v>
      </c>
      <c r="K25" s="36"/>
      <c r="L25" s="8">
        <v>112</v>
      </c>
    </row>
    <row r="26" spans="1:12">
      <c r="A26" s="8"/>
      <c r="L26" s="8"/>
    </row>
    <row r="27" spans="1:12">
      <c r="A27" s="8">
        <v>113</v>
      </c>
      <c r="I27" s="15" t="s">
        <v>404</v>
      </c>
      <c r="J27" s="52">
        <v>14307507431</v>
      </c>
      <c r="L27" s="8">
        <v>113</v>
      </c>
    </row>
    <row r="28" spans="1:12">
      <c r="L28" s="8"/>
    </row>
    <row r="29" spans="1:12">
      <c r="B29" s="58" t="s">
        <v>405</v>
      </c>
      <c r="C29" s="55"/>
      <c r="D29" s="55"/>
      <c r="E29" s="55"/>
      <c r="F29" s="55"/>
      <c r="G29" s="55"/>
      <c r="H29" s="55"/>
      <c r="I29" s="55"/>
      <c r="J29" s="55"/>
      <c r="K29" s="55"/>
    </row>
    <row r="30" spans="1:12">
      <c r="B30" s="16" t="s">
        <v>350</v>
      </c>
    </row>
    <row r="31" spans="1:12">
      <c r="B31" s="834" t="s">
        <v>2099</v>
      </c>
      <c r="C31" s="834"/>
      <c r="D31" s="834"/>
      <c r="E31" s="834"/>
      <c r="F31" s="834"/>
      <c r="G31" s="834"/>
      <c r="H31" s="834"/>
      <c r="I31" s="834"/>
      <c r="J31" s="834"/>
      <c r="K31" s="834"/>
    </row>
    <row r="32" spans="1:12">
      <c r="B32" s="834"/>
      <c r="C32" s="834"/>
      <c r="D32" s="834"/>
      <c r="E32" s="834"/>
      <c r="F32" s="834"/>
      <c r="G32" s="834"/>
      <c r="H32" s="834"/>
      <c r="I32" s="834"/>
      <c r="J32" s="834"/>
      <c r="K32" s="834"/>
    </row>
    <row r="33" spans="1:12">
      <c r="B33" s="835" t="s">
        <v>406</v>
      </c>
      <c r="C33" s="835"/>
      <c r="D33" s="835"/>
      <c r="E33" s="835"/>
      <c r="F33" s="835"/>
      <c r="G33" s="835"/>
      <c r="H33" s="835"/>
      <c r="I33" s="835"/>
      <c r="J33" s="835"/>
      <c r="K33" s="835"/>
    </row>
    <row r="34" spans="1:12">
      <c r="B34" s="12"/>
    </row>
    <row r="35" spans="1:12">
      <c r="A35" s="13" t="s">
        <v>100</v>
      </c>
      <c r="B35" s="13" t="s">
        <v>407</v>
      </c>
      <c r="C35" s="13" t="s">
        <v>408</v>
      </c>
      <c r="L35" s="13" t="s">
        <v>100</v>
      </c>
    </row>
    <row r="36" spans="1:12">
      <c r="A36" s="8">
        <v>200</v>
      </c>
      <c r="B36" s="46">
        <v>2512588990.9231539</v>
      </c>
      <c r="C36" s="6" t="s">
        <v>2100</v>
      </c>
      <c r="L36" s="8">
        <v>200</v>
      </c>
    </row>
    <row r="37" spans="1:12">
      <c r="A37" s="8"/>
    </row>
    <row r="38" spans="1:12">
      <c r="A38" s="8"/>
      <c r="B38" s="8"/>
      <c r="C38" s="13" t="s">
        <v>371</v>
      </c>
      <c r="D38" s="13" t="s">
        <v>372</v>
      </c>
      <c r="E38" s="13" t="s">
        <v>373</v>
      </c>
      <c r="F38" s="13" t="s">
        <v>374</v>
      </c>
      <c r="G38" s="13" t="s">
        <v>375</v>
      </c>
      <c r="H38" s="13" t="s">
        <v>376</v>
      </c>
      <c r="I38" s="13" t="s">
        <v>377</v>
      </c>
      <c r="J38" s="13" t="s">
        <v>378</v>
      </c>
      <c r="K38" s="13" t="s">
        <v>409</v>
      </c>
    </row>
    <row r="39" spans="1:12">
      <c r="A39" s="8"/>
      <c r="B39" s="8"/>
      <c r="C39" s="8"/>
      <c r="D39" s="27" t="s">
        <v>251</v>
      </c>
      <c r="E39" s="30" t="s">
        <v>287</v>
      </c>
      <c r="F39" s="30" t="s">
        <v>2101</v>
      </c>
      <c r="G39" s="30" t="s">
        <v>410</v>
      </c>
      <c r="H39" s="30" t="s">
        <v>411</v>
      </c>
      <c r="I39" s="30" t="s">
        <v>412</v>
      </c>
      <c r="J39" s="30" t="s">
        <v>413</v>
      </c>
      <c r="K39" s="30" t="s">
        <v>2102</v>
      </c>
    </row>
    <row r="40" spans="1:12">
      <c r="A40" s="8"/>
      <c r="B40" s="8"/>
      <c r="C40" s="8"/>
      <c r="D40" s="8"/>
      <c r="E40" s="8"/>
      <c r="F40" s="8"/>
      <c r="G40" s="8" t="s">
        <v>414</v>
      </c>
      <c r="H40" s="8"/>
      <c r="I40" s="8"/>
      <c r="J40" s="8"/>
      <c r="K40" s="8" t="s">
        <v>414</v>
      </c>
    </row>
    <row r="41" spans="1:12">
      <c r="A41" s="8"/>
      <c r="B41" s="8"/>
      <c r="C41" s="8"/>
      <c r="D41" s="8" t="s">
        <v>380</v>
      </c>
      <c r="E41" s="8" t="s">
        <v>380</v>
      </c>
      <c r="F41" s="8" t="s">
        <v>380</v>
      </c>
      <c r="G41" s="8" t="s">
        <v>415</v>
      </c>
      <c r="H41" s="8"/>
      <c r="I41" s="8"/>
      <c r="J41" s="8"/>
      <c r="K41" s="8" t="s">
        <v>415</v>
      </c>
    </row>
    <row r="42" spans="1:12">
      <c r="A42" s="8"/>
      <c r="B42" s="8"/>
      <c r="C42" s="8"/>
      <c r="D42" s="8" t="s">
        <v>416</v>
      </c>
      <c r="E42" s="8" t="s">
        <v>385</v>
      </c>
      <c r="F42" s="8" t="s">
        <v>417</v>
      </c>
      <c r="G42" s="8" t="s">
        <v>418</v>
      </c>
      <c r="H42" s="8" t="s">
        <v>416</v>
      </c>
      <c r="I42" s="8" t="s">
        <v>416</v>
      </c>
      <c r="J42" s="8" t="s">
        <v>419</v>
      </c>
      <c r="K42" s="8" t="s">
        <v>418</v>
      </c>
    </row>
    <row r="43" spans="1:12">
      <c r="A43" s="8"/>
      <c r="B43" s="13" t="s">
        <v>384</v>
      </c>
      <c r="C43" s="13" t="s">
        <v>420</v>
      </c>
      <c r="D43" s="13" t="s">
        <v>421</v>
      </c>
      <c r="E43" s="13" t="s">
        <v>422</v>
      </c>
      <c r="F43" s="13" t="s">
        <v>423</v>
      </c>
      <c r="G43" s="13" t="s">
        <v>424</v>
      </c>
      <c r="H43" s="13" t="s">
        <v>425</v>
      </c>
      <c r="I43" s="13" t="s">
        <v>426</v>
      </c>
      <c r="J43" s="13" t="s">
        <v>426</v>
      </c>
      <c r="K43" s="13" t="s">
        <v>427</v>
      </c>
    </row>
    <row r="44" spans="1:12">
      <c r="A44" s="8">
        <v>201</v>
      </c>
      <c r="B44" t="s">
        <v>428</v>
      </c>
      <c r="C44" s="30">
        <v>2020</v>
      </c>
      <c r="D44" s="30" t="s">
        <v>429</v>
      </c>
      <c r="E44" s="30" t="s">
        <v>429</v>
      </c>
      <c r="F44" s="30" t="s">
        <v>429</v>
      </c>
      <c r="G44" s="52">
        <v>-706236.86768466234</v>
      </c>
      <c r="H44" s="30" t="s">
        <v>429</v>
      </c>
      <c r="I44" s="30" t="s">
        <v>429</v>
      </c>
      <c r="J44" s="52">
        <v>-24568.080000000075</v>
      </c>
      <c r="K44" s="22">
        <v>-730804.95</v>
      </c>
      <c r="L44" s="8">
        <v>201</v>
      </c>
    </row>
    <row r="45" spans="1:12">
      <c r="A45" s="8">
        <v>202</v>
      </c>
      <c r="B45" t="s">
        <v>430</v>
      </c>
      <c r="C45" s="30">
        <v>2021</v>
      </c>
      <c r="D45" s="22">
        <v>192397453.51925173</v>
      </c>
      <c r="E45" s="22">
        <v>173865554</v>
      </c>
      <c r="F45" s="22">
        <v>18531899.519251734</v>
      </c>
      <c r="G45" s="22">
        <v>17825662.651567072</v>
      </c>
      <c r="H45" s="802">
        <v>2.7083333333333334E-3</v>
      </c>
      <c r="I45" s="22">
        <v>23116.02</v>
      </c>
      <c r="J45" s="22">
        <v>-1452.0600000000741</v>
      </c>
      <c r="K45" s="22">
        <v>17824210.59</v>
      </c>
      <c r="L45" s="8">
        <v>202</v>
      </c>
    </row>
    <row r="46" spans="1:12">
      <c r="A46" s="8">
        <v>203</v>
      </c>
      <c r="B46" t="s">
        <v>431</v>
      </c>
      <c r="C46" s="30">
        <v>2021</v>
      </c>
      <c r="D46" s="22">
        <v>169873980.73826402</v>
      </c>
      <c r="E46" s="22">
        <v>155765406</v>
      </c>
      <c r="F46" s="22">
        <v>14108574.738264024</v>
      </c>
      <c r="G46" s="22">
        <v>31934237.389831096</v>
      </c>
      <c r="H46" s="802">
        <v>2.7083333333333334E-3</v>
      </c>
      <c r="I46" s="22">
        <v>67379.27</v>
      </c>
      <c r="J46" s="22">
        <v>65927.209999999934</v>
      </c>
      <c r="K46" s="22">
        <v>32000164.600000001</v>
      </c>
      <c r="L46" s="8">
        <v>203</v>
      </c>
    </row>
    <row r="47" spans="1:12">
      <c r="A47" s="8">
        <v>204</v>
      </c>
      <c r="B47" t="s">
        <v>432</v>
      </c>
      <c r="C47" s="30">
        <v>2021</v>
      </c>
      <c r="D47" s="22">
        <v>191025394.66792208</v>
      </c>
      <c r="E47" s="22">
        <v>181654753</v>
      </c>
      <c r="F47" s="22">
        <v>9370641.6679220796</v>
      </c>
      <c r="G47" s="22">
        <v>41304879.057753175</v>
      </c>
      <c r="H47" s="802">
        <v>2.7083333333333334E-3</v>
      </c>
      <c r="I47" s="22">
        <v>99356.52</v>
      </c>
      <c r="J47" s="22">
        <v>165283.72999999992</v>
      </c>
      <c r="K47" s="22">
        <v>41470162.789999999</v>
      </c>
      <c r="L47" s="8">
        <v>204</v>
      </c>
    </row>
    <row r="48" spans="1:12">
      <c r="A48" s="8">
        <v>205</v>
      </c>
      <c r="B48" t="s">
        <v>433</v>
      </c>
      <c r="C48" s="30">
        <v>2021</v>
      </c>
      <c r="D48" s="22">
        <v>188093031.73683363</v>
      </c>
      <c r="E48" s="22">
        <v>148368721</v>
      </c>
      <c r="F48" s="22">
        <v>39724310.736833632</v>
      </c>
      <c r="G48" s="22">
        <v>81029189.794586807</v>
      </c>
      <c r="H48" s="802">
        <v>2.7083333333333334E-3</v>
      </c>
      <c r="I48" s="22">
        <v>166108.35999999999</v>
      </c>
      <c r="J48" s="22">
        <v>331392.08999999991</v>
      </c>
      <c r="K48" s="22">
        <v>81360581.879999995</v>
      </c>
      <c r="L48" s="8">
        <v>205</v>
      </c>
    </row>
    <row r="49" spans="1:12">
      <c r="A49" s="8">
        <v>206</v>
      </c>
      <c r="B49" t="s">
        <v>395</v>
      </c>
      <c r="C49" s="30">
        <v>2021</v>
      </c>
      <c r="D49" s="22">
        <v>212409761.43306974</v>
      </c>
      <c r="E49" s="22">
        <v>170683066</v>
      </c>
      <c r="F49" s="22">
        <v>41726695.433069736</v>
      </c>
      <c r="G49" s="22">
        <v>122755885.22765654</v>
      </c>
      <c r="H49" s="802">
        <v>2.7083333333333334E-3</v>
      </c>
      <c r="I49" s="22">
        <v>276856.48</v>
      </c>
      <c r="J49" s="22">
        <v>608248.56999999983</v>
      </c>
      <c r="K49" s="22">
        <v>123364133.8</v>
      </c>
      <c r="L49" s="8">
        <v>206</v>
      </c>
    </row>
    <row r="50" spans="1:12">
      <c r="A50" s="8">
        <v>207</v>
      </c>
      <c r="B50" t="s">
        <v>434</v>
      </c>
      <c r="C50" s="30">
        <v>2021</v>
      </c>
      <c r="D50" s="22">
        <v>238216238.4952651</v>
      </c>
      <c r="E50" s="22">
        <v>206749749</v>
      </c>
      <c r="F50" s="22">
        <v>31466489.495265096</v>
      </c>
      <c r="G50" s="22">
        <v>154222374.72292164</v>
      </c>
      <c r="H50" s="802">
        <v>2.7083333333333334E-3</v>
      </c>
      <c r="I50" s="22">
        <v>376722.07</v>
      </c>
      <c r="J50" s="22">
        <v>984970.6399999999</v>
      </c>
      <c r="K50" s="22">
        <v>155207345.36000001</v>
      </c>
      <c r="L50" s="8">
        <v>207</v>
      </c>
    </row>
    <row r="51" spans="1:12">
      <c r="A51" s="8">
        <v>208</v>
      </c>
      <c r="B51" t="s">
        <v>435</v>
      </c>
      <c r="C51" s="30">
        <v>2021</v>
      </c>
      <c r="D51" s="22">
        <v>262286961.48985919</v>
      </c>
      <c r="E51" s="22">
        <v>222331409</v>
      </c>
      <c r="F51" s="22">
        <v>39955552.489859194</v>
      </c>
      <c r="G51" s="22">
        <v>194177927.21278083</v>
      </c>
      <c r="H51" s="802">
        <v>2.7083333333333334E-3</v>
      </c>
      <c r="I51" s="22">
        <v>474459.7</v>
      </c>
      <c r="J51" s="22">
        <v>1459430.3399999999</v>
      </c>
      <c r="K51" s="22">
        <v>195637357.55000001</v>
      </c>
      <c r="L51" s="8">
        <v>208</v>
      </c>
    </row>
    <row r="52" spans="1:12">
      <c r="A52" s="8">
        <v>209</v>
      </c>
      <c r="B52" t="s">
        <v>436</v>
      </c>
      <c r="C52" s="30">
        <v>2021</v>
      </c>
      <c r="D52" s="22">
        <v>250500008.23576957</v>
      </c>
      <c r="E52" s="22">
        <v>229108231</v>
      </c>
      <c r="F52" s="22">
        <v>21391777.23576957</v>
      </c>
      <c r="G52" s="22">
        <v>215569704.4485504</v>
      </c>
      <c r="H52" s="802">
        <v>2.7083333333333334E-3</v>
      </c>
      <c r="I52" s="22">
        <v>558819.21</v>
      </c>
      <c r="J52" s="22">
        <v>2018249.5499999998</v>
      </c>
      <c r="K52" s="22">
        <v>217587954</v>
      </c>
      <c r="L52" s="8">
        <v>209</v>
      </c>
    </row>
    <row r="53" spans="1:12">
      <c r="A53" s="8">
        <v>210</v>
      </c>
      <c r="B53" t="s">
        <v>437</v>
      </c>
      <c r="C53" s="30">
        <v>2021</v>
      </c>
      <c r="D53" s="22">
        <v>225893720.96837997</v>
      </c>
      <c r="E53" s="22">
        <v>213467464</v>
      </c>
      <c r="F53" s="22">
        <v>12426256.968379974</v>
      </c>
      <c r="G53" s="22">
        <v>227995961.41693038</v>
      </c>
      <c r="H53" s="802">
        <v>2.7083333333333334E-3</v>
      </c>
      <c r="I53" s="22">
        <v>606127.93000000005</v>
      </c>
      <c r="J53" s="22">
        <v>2624377.48</v>
      </c>
      <c r="K53" s="22">
        <v>230620338.90000001</v>
      </c>
      <c r="L53" s="8">
        <v>210</v>
      </c>
    </row>
    <row r="54" spans="1:12">
      <c r="A54" s="8">
        <v>211</v>
      </c>
      <c r="B54" t="s">
        <v>438</v>
      </c>
      <c r="C54" s="30">
        <v>2021</v>
      </c>
      <c r="D54" s="22">
        <v>196767622.14886552</v>
      </c>
      <c r="E54" s="22">
        <v>185755778</v>
      </c>
      <c r="F54" s="22">
        <v>11011844.148865521</v>
      </c>
      <c r="G54" s="22">
        <v>239007805.5657959</v>
      </c>
      <c r="H54" s="802">
        <v>2.7083333333333334E-3</v>
      </c>
      <c r="I54" s="22">
        <v>639508.62</v>
      </c>
      <c r="J54" s="22">
        <v>3263886.1</v>
      </c>
      <c r="K54" s="22">
        <v>242271691.66999999</v>
      </c>
      <c r="L54" s="8">
        <v>211</v>
      </c>
    </row>
    <row r="55" spans="1:12">
      <c r="A55" s="8">
        <v>212</v>
      </c>
      <c r="B55" t="s">
        <v>439</v>
      </c>
      <c r="C55" s="30">
        <v>2021</v>
      </c>
      <c r="D55" s="22">
        <v>182249370.69575751</v>
      </c>
      <c r="E55" s="22">
        <v>164303834</v>
      </c>
      <c r="F55" s="22">
        <v>17945536.695757508</v>
      </c>
      <c r="G55" s="22">
        <v>256953342.26155341</v>
      </c>
      <c r="H55" s="802">
        <v>2.7083333333333334E-3</v>
      </c>
      <c r="I55" s="22">
        <v>680453.75</v>
      </c>
      <c r="J55" s="22">
        <v>3944339.85</v>
      </c>
      <c r="K55" s="22">
        <v>260897682.11000001</v>
      </c>
      <c r="L55" s="8">
        <v>212</v>
      </c>
    </row>
    <row r="56" spans="1:12">
      <c r="A56" s="8">
        <v>213</v>
      </c>
      <c r="B56" t="s">
        <v>428</v>
      </c>
      <c r="C56" s="30">
        <v>2021</v>
      </c>
      <c r="D56" s="22">
        <v>202875446.79391584</v>
      </c>
      <c r="E56" s="22">
        <v>192160386</v>
      </c>
      <c r="F56" s="22">
        <v>10715060.793915838</v>
      </c>
      <c r="G56" s="22">
        <v>267668403.05546924</v>
      </c>
      <c r="H56" s="802">
        <v>2.7083333333333334E-3</v>
      </c>
      <c r="I56" s="22">
        <v>721107.87</v>
      </c>
      <c r="J56" s="22">
        <v>4665447.72</v>
      </c>
      <c r="K56" s="22">
        <v>272333850.77999997</v>
      </c>
      <c r="L56" s="8">
        <v>213</v>
      </c>
    </row>
    <row r="57" spans="1:12">
      <c r="A57" s="8">
        <v>214</v>
      </c>
      <c r="B57" t="s">
        <v>430</v>
      </c>
      <c r="C57" s="30">
        <v>2022</v>
      </c>
      <c r="D57" s="30" t="s">
        <v>429</v>
      </c>
      <c r="E57" s="30" t="s">
        <v>429</v>
      </c>
      <c r="F57" s="20">
        <v>0</v>
      </c>
      <c r="G57" s="22">
        <v>267668403.05546924</v>
      </c>
      <c r="H57" s="802">
        <v>2.7083333333333334E-3</v>
      </c>
      <c r="I57" s="22">
        <v>737570.85</v>
      </c>
      <c r="J57" s="22">
        <v>5403018.5699999994</v>
      </c>
      <c r="K57" s="22">
        <v>273071421.63</v>
      </c>
      <c r="L57" s="8">
        <v>214</v>
      </c>
    </row>
    <row r="58" spans="1:12">
      <c r="A58" s="8">
        <v>215</v>
      </c>
      <c r="B58" t="s">
        <v>431</v>
      </c>
      <c r="C58" s="30">
        <v>2022</v>
      </c>
      <c r="D58" s="30" t="s">
        <v>429</v>
      </c>
      <c r="E58" s="30" t="s">
        <v>429</v>
      </c>
      <c r="F58" s="20">
        <v>0</v>
      </c>
      <c r="G58" s="22">
        <v>267668403.05546924</v>
      </c>
      <c r="H58" s="802">
        <v>2.7083333333333334E-3</v>
      </c>
      <c r="I58" s="22">
        <v>739568.43</v>
      </c>
      <c r="J58" s="22">
        <v>6142586.9999999991</v>
      </c>
      <c r="K58" s="22">
        <v>273810990.06</v>
      </c>
      <c r="L58" s="8">
        <v>215</v>
      </c>
    </row>
    <row r="59" spans="1:12">
      <c r="A59" s="8">
        <v>216</v>
      </c>
      <c r="B59" t="s">
        <v>432</v>
      </c>
      <c r="C59" s="30">
        <v>2022</v>
      </c>
      <c r="D59" s="30" t="s">
        <v>429</v>
      </c>
      <c r="E59" s="30" t="s">
        <v>429</v>
      </c>
      <c r="F59" s="20">
        <v>0</v>
      </c>
      <c r="G59" s="22">
        <v>267668403.05546924</v>
      </c>
      <c r="H59" s="802">
        <v>2.7083333333333334E-3</v>
      </c>
      <c r="I59" s="22">
        <v>741571.43</v>
      </c>
      <c r="J59" s="22">
        <v>6884158.4299999988</v>
      </c>
      <c r="K59" s="22">
        <v>274552561.49000001</v>
      </c>
      <c r="L59" s="8">
        <v>216</v>
      </c>
    </row>
    <row r="60" spans="1:12">
      <c r="A60" s="8">
        <v>217</v>
      </c>
      <c r="B60" t="s">
        <v>433</v>
      </c>
      <c r="C60" s="30">
        <v>2022</v>
      </c>
      <c r="D60" s="30" t="s">
        <v>429</v>
      </c>
      <c r="E60" s="30" t="s">
        <v>429</v>
      </c>
      <c r="F60" s="20">
        <v>0</v>
      </c>
      <c r="G60" s="22">
        <v>267668403.05546924</v>
      </c>
      <c r="H60" s="802">
        <v>2.7083333333333334E-3</v>
      </c>
      <c r="I60" s="22">
        <v>743579.85</v>
      </c>
      <c r="J60" s="22">
        <v>7627738.2799999984</v>
      </c>
      <c r="K60" s="22">
        <v>275296141.33999997</v>
      </c>
      <c r="L60" s="8">
        <v>217</v>
      </c>
    </row>
    <row r="61" spans="1:12">
      <c r="A61" s="8">
        <v>218</v>
      </c>
      <c r="B61" t="s">
        <v>395</v>
      </c>
      <c r="C61" s="30">
        <v>2022</v>
      </c>
      <c r="D61" s="30" t="s">
        <v>429</v>
      </c>
      <c r="E61" s="30" t="s">
        <v>429</v>
      </c>
      <c r="F61" s="20">
        <v>0</v>
      </c>
      <c r="G61" s="22">
        <v>267668403.05546924</v>
      </c>
      <c r="H61" s="802">
        <v>2.7083333333333334E-3</v>
      </c>
      <c r="I61" s="22">
        <v>745593.72</v>
      </c>
      <c r="J61" s="22">
        <v>8373331.9999999981</v>
      </c>
      <c r="K61" s="22">
        <v>276041735.06</v>
      </c>
      <c r="L61" s="8">
        <v>218</v>
      </c>
    </row>
    <row r="62" spans="1:12">
      <c r="A62" s="8">
        <v>219</v>
      </c>
      <c r="B62" t="s">
        <v>434</v>
      </c>
      <c r="C62" s="30">
        <v>2022</v>
      </c>
      <c r="D62" s="30" t="s">
        <v>429</v>
      </c>
      <c r="E62" s="30" t="s">
        <v>429</v>
      </c>
      <c r="F62" s="20">
        <v>0</v>
      </c>
      <c r="G62" s="22">
        <v>267668403.05546924</v>
      </c>
      <c r="H62" s="802">
        <v>2.7083333333333334E-3</v>
      </c>
      <c r="I62" s="22">
        <v>747613.03</v>
      </c>
      <c r="J62" s="22">
        <v>9120945.0299999975</v>
      </c>
      <c r="K62" s="22">
        <v>276789348.08999997</v>
      </c>
      <c r="L62" s="8">
        <v>219</v>
      </c>
    </row>
    <row r="63" spans="1:12">
      <c r="A63" s="8">
        <v>220</v>
      </c>
      <c r="B63" t="s">
        <v>435</v>
      </c>
      <c r="C63" s="30">
        <v>2022</v>
      </c>
      <c r="D63" s="30" t="s">
        <v>429</v>
      </c>
      <c r="E63" s="30" t="s">
        <v>429</v>
      </c>
      <c r="F63" s="20">
        <v>0</v>
      </c>
      <c r="G63" s="22">
        <v>267668403.05546924</v>
      </c>
      <c r="H63" s="802">
        <v>2.9999999999999996E-3</v>
      </c>
      <c r="I63" s="22">
        <v>830368.04</v>
      </c>
      <c r="J63" s="22">
        <v>9951313.0699999966</v>
      </c>
      <c r="K63" s="22">
        <v>277619716.13</v>
      </c>
      <c r="L63" s="8">
        <v>220</v>
      </c>
    </row>
    <row r="64" spans="1:12">
      <c r="A64" s="8">
        <v>221</v>
      </c>
      <c r="B64" t="s">
        <v>436</v>
      </c>
      <c r="C64" s="30">
        <v>2022</v>
      </c>
      <c r="D64" s="30" t="s">
        <v>429</v>
      </c>
      <c r="E64" s="30" t="s">
        <v>429</v>
      </c>
      <c r="F64" s="20">
        <v>0</v>
      </c>
      <c r="G64" s="22">
        <v>267668403.05546924</v>
      </c>
      <c r="H64" s="802">
        <v>2.9999999999999996E-3</v>
      </c>
      <c r="I64" s="22">
        <v>832859.15</v>
      </c>
      <c r="J64" s="22">
        <v>10784172.219999997</v>
      </c>
      <c r="K64" s="22">
        <v>278452575.27999997</v>
      </c>
      <c r="L64" s="8">
        <v>221</v>
      </c>
    </row>
    <row r="65" spans="1:12">
      <c r="A65" s="8">
        <v>222</v>
      </c>
      <c r="B65" t="s">
        <v>437</v>
      </c>
      <c r="C65" s="30">
        <v>2022</v>
      </c>
      <c r="D65" s="30" t="s">
        <v>429</v>
      </c>
      <c r="E65" s="30" t="s">
        <v>429</v>
      </c>
      <c r="F65" s="20">
        <v>0</v>
      </c>
      <c r="G65" s="22">
        <v>267668403.05546924</v>
      </c>
      <c r="H65" s="802">
        <v>2.9999999999999996E-3</v>
      </c>
      <c r="I65" s="22">
        <v>835357.73</v>
      </c>
      <c r="J65" s="22">
        <v>11619529.949999997</v>
      </c>
      <c r="K65" s="22">
        <v>279287933.00999999</v>
      </c>
      <c r="L65" s="8">
        <v>222</v>
      </c>
    </row>
    <row r="66" spans="1:12">
      <c r="A66" s="8">
        <v>223</v>
      </c>
      <c r="B66" t="s">
        <v>438</v>
      </c>
      <c r="C66" s="30">
        <v>2022</v>
      </c>
      <c r="D66" s="30" t="s">
        <v>429</v>
      </c>
      <c r="E66" s="30" t="s">
        <v>429</v>
      </c>
      <c r="F66" s="20">
        <v>0</v>
      </c>
      <c r="G66" s="22">
        <v>267668403.05546924</v>
      </c>
      <c r="H66" s="802">
        <v>4.0916666666666662E-3</v>
      </c>
      <c r="I66" s="22">
        <v>1142753.1299999999</v>
      </c>
      <c r="J66" s="22">
        <v>12762283.079999998</v>
      </c>
      <c r="K66" s="22">
        <v>280430686.13999999</v>
      </c>
      <c r="L66" s="8">
        <v>223</v>
      </c>
    </row>
    <row r="67" spans="1:12">
      <c r="A67" s="8">
        <v>224</v>
      </c>
      <c r="B67" t="s">
        <v>439</v>
      </c>
      <c r="C67" s="30">
        <v>2022</v>
      </c>
      <c r="D67" s="30" t="s">
        <v>429</v>
      </c>
      <c r="E67" s="30" t="s">
        <v>429</v>
      </c>
      <c r="F67" s="20">
        <v>0</v>
      </c>
      <c r="G67" s="22">
        <v>267668403.05546924</v>
      </c>
      <c r="H67" s="802">
        <v>4.0916666666666662E-3</v>
      </c>
      <c r="I67" s="22">
        <v>1147428.8899999999</v>
      </c>
      <c r="J67" s="22">
        <v>13909711.969999999</v>
      </c>
      <c r="K67" s="22">
        <v>281578115.02999997</v>
      </c>
      <c r="L67" s="8">
        <v>224</v>
      </c>
    </row>
    <row r="68" spans="1:12">
      <c r="A68" s="8">
        <v>225</v>
      </c>
      <c r="B68" t="s">
        <v>428</v>
      </c>
      <c r="C68" s="30">
        <v>2022</v>
      </c>
      <c r="D68" s="30" t="s">
        <v>429</v>
      </c>
      <c r="E68" s="30" t="s">
        <v>429</v>
      </c>
      <c r="F68" s="20">
        <v>0</v>
      </c>
      <c r="G68" s="22">
        <v>267668403.05546924</v>
      </c>
      <c r="H68" s="802">
        <v>4.0916666666666662E-3</v>
      </c>
      <c r="I68" s="22">
        <v>1152123.79</v>
      </c>
      <c r="J68" s="22">
        <v>15061835.759999998</v>
      </c>
      <c r="K68" s="22">
        <v>282730238.81999999</v>
      </c>
      <c r="L68" s="8">
        <v>225</v>
      </c>
    </row>
    <row r="69" spans="1:12">
      <c r="A69" s="8"/>
      <c r="D69" s="40"/>
      <c r="E69" s="20"/>
      <c r="G69" s="20"/>
      <c r="I69" s="20"/>
      <c r="J69" s="20"/>
      <c r="K69" s="20"/>
    </row>
    <row r="70" spans="1:12">
      <c r="A70" s="8"/>
      <c r="B70" s="58" t="s">
        <v>440</v>
      </c>
      <c r="C70" s="55"/>
      <c r="D70" s="55"/>
      <c r="E70" s="55"/>
      <c r="F70" s="55"/>
      <c r="G70" s="55"/>
      <c r="H70" s="55"/>
      <c r="I70" s="55"/>
      <c r="J70" s="55"/>
      <c r="K70" s="55"/>
    </row>
    <row r="71" spans="1:12">
      <c r="A71" s="8"/>
      <c r="B71" s="11" t="s">
        <v>441</v>
      </c>
    </row>
    <row r="72" spans="1:12">
      <c r="A72" s="8"/>
      <c r="B72" s="834" t="s">
        <v>2103</v>
      </c>
      <c r="C72" s="834"/>
      <c r="D72" s="834"/>
      <c r="E72" s="834"/>
      <c r="F72" s="834"/>
      <c r="G72" s="834"/>
      <c r="H72" s="834"/>
      <c r="I72" s="834"/>
      <c r="J72" s="834"/>
      <c r="K72" s="834"/>
    </row>
    <row r="73" spans="1:12">
      <c r="A73" s="8"/>
      <c r="B73" s="834"/>
      <c r="C73" s="834"/>
      <c r="D73" s="834"/>
      <c r="E73" s="834"/>
      <c r="F73" s="834"/>
      <c r="G73" s="834"/>
      <c r="H73" s="834"/>
      <c r="I73" s="834"/>
      <c r="J73" s="834"/>
      <c r="K73" s="834"/>
    </row>
    <row r="74" spans="1:12">
      <c r="C74" s="13" t="s">
        <v>371</v>
      </c>
      <c r="D74" s="13" t="s">
        <v>372</v>
      </c>
      <c r="E74" s="13" t="s">
        <v>373</v>
      </c>
      <c r="F74" s="13" t="s">
        <v>374</v>
      </c>
      <c r="G74" s="13" t="s">
        <v>375</v>
      </c>
      <c r="H74" s="13" t="s">
        <v>376</v>
      </c>
      <c r="I74" s="13" t="s">
        <v>377</v>
      </c>
    </row>
    <row r="75" spans="1:12">
      <c r="C75" s="30"/>
      <c r="D75" s="30" t="s">
        <v>442</v>
      </c>
      <c r="E75" s="30"/>
      <c r="F75" s="30" t="s">
        <v>711</v>
      </c>
      <c r="G75" s="30" t="s">
        <v>443</v>
      </c>
      <c r="H75" s="30" t="s">
        <v>444</v>
      </c>
      <c r="I75" s="30" t="s">
        <v>2104</v>
      </c>
    </row>
    <row r="76" spans="1:12">
      <c r="B76" s="8"/>
      <c r="C76" s="8"/>
      <c r="D76" s="8" t="s">
        <v>384</v>
      </c>
      <c r="E76" s="65"/>
      <c r="F76" s="8" t="s">
        <v>384</v>
      </c>
      <c r="G76" s="8"/>
      <c r="H76" s="8"/>
      <c r="I76" s="8"/>
    </row>
    <row r="77" spans="1:12">
      <c r="B77" s="8"/>
      <c r="C77" s="8"/>
      <c r="D77" s="8" t="s">
        <v>445</v>
      </c>
      <c r="E77" s="65"/>
      <c r="F77" s="8" t="s">
        <v>446</v>
      </c>
      <c r="G77" s="8" t="s">
        <v>447</v>
      </c>
      <c r="H77" s="8" t="s">
        <v>416</v>
      </c>
      <c r="I77" s="8" t="s">
        <v>384</v>
      </c>
    </row>
    <row r="78" spans="1:12">
      <c r="A78" s="13" t="s">
        <v>100</v>
      </c>
      <c r="B78" s="13" t="s">
        <v>384</v>
      </c>
      <c r="C78" s="13" t="s">
        <v>420</v>
      </c>
      <c r="D78" s="13" t="s">
        <v>448</v>
      </c>
      <c r="E78" s="13" t="s">
        <v>449</v>
      </c>
      <c r="F78" s="13" t="s">
        <v>424</v>
      </c>
      <c r="G78" s="13" t="s">
        <v>450</v>
      </c>
      <c r="H78" s="13" t="s">
        <v>425</v>
      </c>
      <c r="I78" s="13" t="s">
        <v>446</v>
      </c>
      <c r="L78" s="13" t="s">
        <v>100</v>
      </c>
    </row>
    <row r="79" spans="1:12">
      <c r="A79" s="8">
        <v>300</v>
      </c>
      <c r="B79" t="s">
        <v>430</v>
      </c>
      <c r="C79" s="30">
        <v>2023</v>
      </c>
      <c r="D79" s="22">
        <v>282730238.81999999</v>
      </c>
      <c r="E79" s="22">
        <v>-24142772.416666668</v>
      </c>
      <c r="F79" s="22">
        <v>258587466.40333334</v>
      </c>
      <c r="G79" s="22">
        <v>1107445.81</v>
      </c>
      <c r="H79" s="66">
        <v>4.0916666666666662E-3</v>
      </c>
      <c r="I79" s="22">
        <v>259694912.21000001</v>
      </c>
      <c r="L79" s="8">
        <v>300</v>
      </c>
    </row>
    <row r="80" spans="1:12">
      <c r="A80" s="8">
        <v>301</v>
      </c>
      <c r="B80" t="s">
        <v>431</v>
      </c>
      <c r="C80" s="30">
        <v>2023</v>
      </c>
      <c r="D80" s="22">
        <v>259694912.21000001</v>
      </c>
      <c r="E80" s="22">
        <v>-24142772.416666668</v>
      </c>
      <c r="F80" s="22">
        <v>235552139.79333335</v>
      </c>
      <c r="G80" s="22">
        <v>1013192.93</v>
      </c>
      <c r="H80" s="66">
        <v>4.0916666666666662E-3</v>
      </c>
      <c r="I80" s="22">
        <v>236565332.72</v>
      </c>
      <c r="L80" s="8">
        <v>301</v>
      </c>
    </row>
    <row r="81" spans="1:12">
      <c r="A81" s="8">
        <v>302</v>
      </c>
      <c r="B81" t="s">
        <v>432</v>
      </c>
      <c r="C81" s="30">
        <v>2023</v>
      </c>
      <c r="D81" s="22">
        <v>236565332.72</v>
      </c>
      <c r="E81" s="22">
        <v>-24142772.416666668</v>
      </c>
      <c r="F81" s="22">
        <v>212422560.30333334</v>
      </c>
      <c r="G81" s="22">
        <v>918554.4</v>
      </c>
      <c r="H81" s="66">
        <v>4.0916666666666662E-3</v>
      </c>
      <c r="I81" s="22">
        <v>213341114.69999999</v>
      </c>
      <c r="L81" s="8">
        <v>302</v>
      </c>
    </row>
    <row r="82" spans="1:12">
      <c r="A82" s="8">
        <v>303</v>
      </c>
      <c r="B82" t="s">
        <v>433</v>
      </c>
      <c r="C82" s="30">
        <v>2023</v>
      </c>
      <c r="D82" s="22">
        <v>213341114.69999999</v>
      </c>
      <c r="E82" s="22">
        <v>-24142772.416666668</v>
      </c>
      <c r="F82" s="22">
        <v>189198342.28333333</v>
      </c>
      <c r="G82" s="22">
        <v>823528.64</v>
      </c>
      <c r="H82" s="66">
        <v>4.0916666666666662E-3</v>
      </c>
      <c r="I82" s="22">
        <v>190021870.91999999</v>
      </c>
      <c r="L82" s="8">
        <v>303</v>
      </c>
    </row>
    <row r="83" spans="1:12">
      <c r="A83" s="8">
        <v>304</v>
      </c>
      <c r="B83" t="s">
        <v>395</v>
      </c>
      <c r="C83" s="30">
        <v>2023</v>
      </c>
      <c r="D83" s="22">
        <v>190021870.91999999</v>
      </c>
      <c r="E83" s="22">
        <v>-24142772.416666668</v>
      </c>
      <c r="F83" s="22">
        <v>165879098.50333333</v>
      </c>
      <c r="G83" s="22">
        <v>728114.07</v>
      </c>
      <c r="H83" s="66">
        <v>4.0916666666666662E-3</v>
      </c>
      <c r="I83" s="22">
        <v>166607212.56999999</v>
      </c>
      <c r="L83" s="8">
        <v>304</v>
      </c>
    </row>
    <row r="84" spans="1:12">
      <c r="A84" s="8">
        <v>305</v>
      </c>
      <c r="B84" t="s">
        <v>434</v>
      </c>
      <c r="C84" s="30">
        <v>2023</v>
      </c>
      <c r="D84" s="22">
        <v>166607212.56999999</v>
      </c>
      <c r="E84" s="22">
        <v>-24142772.416666668</v>
      </c>
      <c r="F84" s="22">
        <v>142464440.15333334</v>
      </c>
      <c r="G84" s="22">
        <v>632309.09</v>
      </c>
      <c r="H84" s="66">
        <v>4.0916666666666662E-3</v>
      </c>
      <c r="I84" s="22">
        <v>143096749.24000001</v>
      </c>
      <c r="L84" s="8">
        <v>305</v>
      </c>
    </row>
    <row r="85" spans="1:12">
      <c r="A85" s="8">
        <v>306</v>
      </c>
      <c r="B85" t="s">
        <v>435</v>
      </c>
      <c r="C85" s="30">
        <v>2023</v>
      </c>
      <c r="D85" s="22">
        <v>143096749.24000001</v>
      </c>
      <c r="E85" s="22">
        <v>-24142772.416666668</v>
      </c>
      <c r="F85" s="22">
        <v>118953976.82333334</v>
      </c>
      <c r="G85" s="22">
        <v>536112.11</v>
      </c>
      <c r="H85" s="66">
        <v>4.0916666666666662E-3</v>
      </c>
      <c r="I85" s="22">
        <v>119490088.93000001</v>
      </c>
      <c r="L85" s="8">
        <v>306</v>
      </c>
    </row>
    <row r="86" spans="1:12">
      <c r="A86" s="8">
        <v>307</v>
      </c>
      <c r="B86" t="s">
        <v>436</v>
      </c>
      <c r="C86" s="30">
        <v>2023</v>
      </c>
      <c r="D86" s="22">
        <v>119490088.93000001</v>
      </c>
      <c r="E86" s="22">
        <v>-24142772.416666668</v>
      </c>
      <c r="F86" s="22">
        <v>95347316.513333336</v>
      </c>
      <c r="G86" s="22">
        <v>439521.53</v>
      </c>
      <c r="H86" s="66">
        <v>4.0916666666666662E-3</v>
      </c>
      <c r="I86" s="22">
        <v>95786838.040000007</v>
      </c>
      <c r="L86" s="8">
        <v>307</v>
      </c>
    </row>
    <row r="87" spans="1:12">
      <c r="A87" s="8">
        <v>308</v>
      </c>
      <c r="B87" t="s">
        <v>437</v>
      </c>
      <c r="C87" s="30">
        <v>2023</v>
      </c>
      <c r="D87" s="22">
        <v>95786838.040000007</v>
      </c>
      <c r="E87" s="22">
        <v>-24142772.416666668</v>
      </c>
      <c r="F87" s="22">
        <v>71644065.623333335</v>
      </c>
      <c r="G87" s="22">
        <v>342535.72</v>
      </c>
      <c r="H87" s="66">
        <v>4.0916666666666662E-3</v>
      </c>
      <c r="I87" s="22">
        <v>71986601.340000004</v>
      </c>
      <c r="L87" s="8">
        <v>308</v>
      </c>
    </row>
    <row r="88" spans="1:12">
      <c r="A88" s="8">
        <v>309</v>
      </c>
      <c r="B88" t="s">
        <v>438</v>
      </c>
      <c r="C88" s="30">
        <v>2023</v>
      </c>
      <c r="D88" s="22">
        <v>71986601.340000004</v>
      </c>
      <c r="E88" s="22">
        <v>-24142772.416666668</v>
      </c>
      <c r="F88" s="22">
        <v>47843828.923333332</v>
      </c>
      <c r="G88" s="22">
        <v>245153.09</v>
      </c>
      <c r="H88" s="66">
        <v>4.0916666666666662E-3</v>
      </c>
      <c r="I88" s="22">
        <v>48088982.009999998</v>
      </c>
      <c r="L88" s="8">
        <v>309</v>
      </c>
    </row>
    <row r="89" spans="1:12">
      <c r="A89" s="8">
        <v>310</v>
      </c>
      <c r="B89" t="s">
        <v>439</v>
      </c>
      <c r="C89" s="30">
        <v>2023</v>
      </c>
      <c r="D89" s="22">
        <v>48088982.009999998</v>
      </c>
      <c r="E89" s="22">
        <v>-24142772.416666668</v>
      </c>
      <c r="F89" s="22">
        <v>23946209.59333333</v>
      </c>
      <c r="G89" s="22">
        <v>147372</v>
      </c>
      <c r="H89" s="66">
        <v>4.0916666666666662E-3</v>
      </c>
      <c r="I89" s="22">
        <v>24093581.59</v>
      </c>
      <c r="L89" s="8">
        <v>310</v>
      </c>
    </row>
    <row r="90" spans="1:12">
      <c r="A90" s="8">
        <v>311</v>
      </c>
      <c r="B90" t="s">
        <v>428</v>
      </c>
      <c r="C90" s="30">
        <v>2023</v>
      </c>
      <c r="D90" s="22">
        <v>24093581.59</v>
      </c>
      <c r="E90" s="22">
        <v>-24142772.416666668</v>
      </c>
      <c r="F90" s="22">
        <v>-49190.826666668057</v>
      </c>
      <c r="G90" s="22">
        <v>49190.82</v>
      </c>
      <c r="H90" s="66">
        <v>4.0916666666666662E-3</v>
      </c>
      <c r="I90" s="22">
        <v>-0.01</v>
      </c>
      <c r="L90" s="8">
        <v>311</v>
      </c>
    </row>
    <row r="91" spans="1:12">
      <c r="A91" s="8">
        <v>312</v>
      </c>
      <c r="D91" s="15" t="s">
        <v>451</v>
      </c>
      <c r="E91" s="669">
        <v>-289713269</v>
      </c>
      <c r="G91" s="37"/>
      <c r="H91" s="67"/>
      <c r="L91" s="8">
        <v>312</v>
      </c>
    </row>
    <row r="93" spans="1:12">
      <c r="B93" s="58" t="s">
        <v>452</v>
      </c>
      <c r="C93" s="55"/>
      <c r="D93" s="55"/>
      <c r="E93" s="55"/>
      <c r="F93" s="55"/>
      <c r="G93" s="55"/>
      <c r="H93" s="55"/>
      <c r="I93" s="55"/>
      <c r="J93" s="55"/>
      <c r="K93" s="55"/>
    </row>
    <row r="94" spans="1:12">
      <c r="A94" s="13" t="s">
        <v>100</v>
      </c>
      <c r="B94" s="13" t="s">
        <v>453</v>
      </c>
      <c r="C94" s="13" t="s">
        <v>135</v>
      </c>
      <c r="L94" s="13" t="s">
        <v>100</v>
      </c>
    </row>
    <row r="95" spans="1:12">
      <c r="A95" s="8">
        <v>400</v>
      </c>
      <c r="B95" s="22">
        <v>289713269</v>
      </c>
      <c r="C95" t="s">
        <v>2105</v>
      </c>
      <c r="L95" s="8">
        <v>400</v>
      </c>
    </row>
    <row r="97" spans="1:12">
      <c r="A97" s="8"/>
      <c r="B97" s="58" t="s">
        <v>454</v>
      </c>
      <c r="C97" s="55"/>
      <c r="D97" s="59"/>
      <c r="E97" s="60"/>
      <c r="F97" s="55"/>
      <c r="G97" s="60"/>
      <c r="H97" s="55"/>
      <c r="I97" s="60"/>
      <c r="J97" s="60"/>
      <c r="K97" s="60"/>
    </row>
    <row r="98" spans="1:12">
      <c r="A98" s="8"/>
      <c r="B98" s="11" t="s">
        <v>441</v>
      </c>
      <c r="D98" s="40"/>
      <c r="E98" s="20"/>
      <c r="G98" s="20"/>
      <c r="I98" s="20"/>
      <c r="J98" s="20"/>
      <c r="K98" s="20"/>
    </row>
    <row r="99" spans="1:12">
      <c r="A99" s="8"/>
      <c r="B99" s="835" t="s">
        <v>2106</v>
      </c>
      <c r="C99" s="835"/>
      <c r="D99" s="835"/>
      <c r="E99" s="835"/>
      <c r="F99" s="835"/>
      <c r="G99" s="835"/>
      <c r="H99" s="835"/>
      <c r="I99" s="835"/>
      <c r="J99" s="835"/>
      <c r="K99" s="835"/>
    </row>
    <row r="100" spans="1:12">
      <c r="A100" s="8"/>
      <c r="B100" s="835" t="s">
        <v>2107</v>
      </c>
      <c r="C100" s="835"/>
      <c r="D100" s="835"/>
      <c r="E100" s="835"/>
      <c r="F100" s="835"/>
      <c r="G100" s="835"/>
      <c r="H100" s="835"/>
      <c r="I100" s="835"/>
      <c r="J100" s="835"/>
      <c r="K100" s="835"/>
    </row>
    <row r="101" spans="1:12">
      <c r="A101" s="13" t="s">
        <v>100</v>
      </c>
      <c r="D101" s="40"/>
      <c r="E101" s="20"/>
      <c r="G101" s="20"/>
      <c r="I101" s="20"/>
      <c r="J101" s="20"/>
      <c r="K101" s="20"/>
      <c r="L101" s="13" t="s">
        <v>100</v>
      </c>
    </row>
    <row r="102" spans="1:12">
      <c r="A102" s="8">
        <v>500</v>
      </c>
      <c r="B102" s="14" t="s">
        <v>455</v>
      </c>
      <c r="D102" s="56" t="s">
        <v>456</v>
      </c>
      <c r="L102" s="8">
        <v>500</v>
      </c>
    </row>
    <row r="103" spans="1:12">
      <c r="A103" s="8"/>
      <c r="D103" s="40"/>
      <c r="E103" s="20"/>
      <c r="G103" s="20"/>
      <c r="I103" s="20"/>
      <c r="J103" s="20"/>
      <c r="K103" s="20"/>
    </row>
    <row r="104" spans="1:12">
      <c r="A104" s="8"/>
      <c r="C104" s="8" t="s">
        <v>371</v>
      </c>
      <c r="D104" s="8" t="s">
        <v>372</v>
      </c>
      <c r="E104" s="8" t="s">
        <v>373</v>
      </c>
      <c r="F104" s="8" t="s">
        <v>374</v>
      </c>
      <c r="I104" s="20"/>
      <c r="J104" s="20"/>
      <c r="K104" s="20"/>
    </row>
    <row r="105" spans="1:12">
      <c r="A105" s="8"/>
      <c r="C105" s="8"/>
      <c r="D105" s="30" t="s">
        <v>457</v>
      </c>
      <c r="E105" s="30" t="s">
        <v>458</v>
      </c>
      <c r="F105" s="30"/>
      <c r="I105" s="20"/>
      <c r="J105" s="20"/>
      <c r="K105" s="20"/>
    </row>
    <row r="106" spans="1:12">
      <c r="A106" s="8"/>
      <c r="B106" s="12"/>
      <c r="C106" s="8"/>
      <c r="D106" s="61" t="s">
        <v>421</v>
      </c>
      <c r="E106" s="8" t="s">
        <v>459</v>
      </c>
      <c r="F106" s="65" t="s">
        <v>460</v>
      </c>
      <c r="I106" s="20"/>
      <c r="J106" s="20"/>
      <c r="K106" s="20"/>
    </row>
    <row r="107" spans="1:12">
      <c r="B107" s="13" t="s">
        <v>384</v>
      </c>
      <c r="C107" s="13" t="s">
        <v>461</v>
      </c>
      <c r="D107" s="13" t="s">
        <v>462</v>
      </c>
      <c r="E107" s="317" t="s">
        <v>463</v>
      </c>
      <c r="F107" s="62" t="s">
        <v>464</v>
      </c>
      <c r="H107" s="20"/>
      <c r="J107" s="20"/>
      <c r="K107" s="20"/>
    </row>
    <row r="108" spans="1:12">
      <c r="A108" s="8">
        <v>501</v>
      </c>
      <c r="B108" t="s">
        <v>430</v>
      </c>
      <c r="C108" s="30">
        <v>2021</v>
      </c>
      <c r="D108" s="514">
        <v>7.6573388729432715E-2</v>
      </c>
      <c r="E108" s="568">
        <v>6822193.32992878</v>
      </c>
      <c r="F108" s="63"/>
      <c r="H108" s="20"/>
      <c r="J108" s="20"/>
      <c r="K108" s="20"/>
      <c r="L108" s="8">
        <v>501</v>
      </c>
    </row>
    <row r="109" spans="1:12">
      <c r="A109" s="8">
        <v>502</v>
      </c>
      <c r="B109" t="s">
        <v>431</v>
      </c>
      <c r="C109" s="30">
        <v>2021</v>
      </c>
      <c r="D109" s="514">
        <v>6.760913995561621E-2</v>
      </c>
      <c r="E109" s="568">
        <v>6023536.7834796803</v>
      </c>
      <c r="F109" s="63"/>
      <c r="H109" s="20"/>
      <c r="J109" s="20"/>
      <c r="K109" s="20"/>
      <c r="L109" s="8">
        <v>502</v>
      </c>
    </row>
    <row r="110" spans="1:12">
      <c r="A110" s="8">
        <v>503</v>
      </c>
      <c r="B110" t="s">
        <v>432</v>
      </c>
      <c r="C110" s="30">
        <v>2021</v>
      </c>
      <c r="D110" s="514">
        <v>7.6027314995811224E-2</v>
      </c>
      <c r="E110" s="568">
        <v>6773541.6946155597</v>
      </c>
      <c r="F110" s="63"/>
      <c r="H110" s="20"/>
      <c r="J110" s="20"/>
      <c r="K110" s="20"/>
      <c r="L110" s="8">
        <v>503</v>
      </c>
    </row>
    <row r="111" spans="1:12">
      <c r="A111" s="8">
        <v>504</v>
      </c>
      <c r="B111" t="s">
        <v>433</v>
      </c>
      <c r="C111" s="30">
        <v>2021</v>
      </c>
      <c r="D111" s="514">
        <v>7.4860246708207581E-2</v>
      </c>
      <c r="E111" s="568">
        <v>6669563.4638049304</v>
      </c>
      <c r="F111" s="63"/>
      <c r="H111" s="20"/>
      <c r="J111" s="20"/>
      <c r="K111" s="20"/>
      <c r="L111" s="8">
        <v>504</v>
      </c>
    </row>
    <row r="112" spans="1:12">
      <c r="A112" s="8">
        <v>505</v>
      </c>
      <c r="B112" t="s">
        <v>395</v>
      </c>
      <c r="C112" s="30">
        <v>2021</v>
      </c>
      <c r="D112" s="514">
        <v>8.4538204298597985E-2</v>
      </c>
      <c r="E112" s="568">
        <v>7531806.8464739397</v>
      </c>
      <c r="F112" s="63"/>
      <c r="H112" s="20"/>
      <c r="J112" s="20"/>
      <c r="K112" s="20"/>
      <c r="L112" s="8">
        <v>505</v>
      </c>
    </row>
    <row r="113" spans="1:12">
      <c r="A113" s="8">
        <v>506</v>
      </c>
      <c r="B113" t="s">
        <v>434</v>
      </c>
      <c r="C113" s="30">
        <v>2021</v>
      </c>
      <c r="D113" s="514">
        <v>9.4809075163439976E-2</v>
      </c>
      <c r="E113" s="568">
        <v>8446874.9643846191</v>
      </c>
      <c r="F113" s="63"/>
      <c r="H113" s="20"/>
      <c r="J113" s="20"/>
      <c r="K113" s="20"/>
      <c r="L113" s="8">
        <v>506</v>
      </c>
    </row>
    <row r="114" spans="1:12">
      <c r="A114" s="8">
        <v>507</v>
      </c>
      <c r="B114" t="s">
        <v>435</v>
      </c>
      <c r="C114" s="30">
        <v>2021</v>
      </c>
      <c r="D114" s="514">
        <v>0.10438912310663749</v>
      </c>
      <c r="E114" s="568">
        <v>9300395.2311892491</v>
      </c>
      <c r="F114" s="63"/>
      <c r="H114" s="20"/>
      <c r="J114" s="20"/>
      <c r="K114" s="20"/>
      <c r="L114" s="8">
        <v>507</v>
      </c>
    </row>
    <row r="115" spans="1:12">
      <c r="A115" s="8">
        <v>508</v>
      </c>
      <c r="B115" t="s">
        <v>436</v>
      </c>
      <c r="C115" s="30">
        <v>2021</v>
      </c>
      <c r="D115" s="514">
        <v>9.9697964585816728E-2</v>
      </c>
      <c r="E115" s="568">
        <v>8882443.3695644997</v>
      </c>
      <c r="F115" s="63"/>
      <c r="H115" s="20"/>
      <c r="J115" s="20"/>
      <c r="K115" s="20"/>
      <c r="L115" s="8">
        <v>508</v>
      </c>
    </row>
    <row r="116" spans="1:12">
      <c r="A116" s="8">
        <v>509</v>
      </c>
      <c r="B116" t="s">
        <v>437</v>
      </c>
      <c r="C116" s="30">
        <v>2021</v>
      </c>
      <c r="D116" s="514">
        <v>8.990476428275046E-2</v>
      </c>
      <c r="E116" s="568">
        <v>8009932.6070813602</v>
      </c>
      <c r="F116" s="63"/>
      <c r="H116" s="20"/>
      <c r="J116" s="20"/>
      <c r="K116" s="20"/>
      <c r="L116" s="8">
        <v>509</v>
      </c>
    </row>
    <row r="117" spans="1:12">
      <c r="A117" s="8">
        <v>510</v>
      </c>
      <c r="B117" t="s">
        <v>438</v>
      </c>
      <c r="C117" s="30">
        <v>2021</v>
      </c>
      <c r="D117" s="514">
        <v>7.8312697723224065E-2</v>
      </c>
      <c r="E117" s="568">
        <v>6977154.5039478103</v>
      </c>
      <c r="F117" s="63"/>
      <c r="L117" s="8">
        <v>510</v>
      </c>
    </row>
    <row r="118" spans="1:12">
      <c r="A118" s="8">
        <v>511</v>
      </c>
      <c r="B118" t="s">
        <v>439</v>
      </c>
      <c r="C118" s="30">
        <v>2021</v>
      </c>
      <c r="D118" s="514">
        <v>7.2534493844453651E-2</v>
      </c>
      <c r="E118" s="568">
        <v>6462353.9366122801</v>
      </c>
      <c r="F118" s="63"/>
      <c r="L118" s="8">
        <v>511</v>
      </c>
    </row>
    <row r="119" spans="1:12">
      <c r="A119" s="8">
        <v>512</v>
      </c>
      <c r="B119" t="s">
        <v>428</v>
      </c>
      <c r="C119" s="30">
        <v>2021</v>
      </c>
      <c r="D119" s="567">
        <v>8.0743586606011941E-2</v>
      </c>
      <c r="E119" s="569">
        <v>7193730.9699646402</v>
      </c>
      <c r="F119" s="63"/>
      <c r="L119" s="8">
        <v>512</v>
      </c>
    </row>
    <row r="120" spans="1:12">
      <c r="A120" s="8">
        <v>513</v>
      </c>
      <c r="B120" s="15" t="s">
        <v>465</v>
      </c>
      <c r="D120" s="577">
        <v>1</v>
      </c>
      <c r="E120" s="243">
        <v>89093527.701047346</v>
      </c>
      <c r="L120" s="8">
        <v>513</v>
      </c>
    </row>
    <row r="122" spans="1:12">
      <c r="B122" s="58" t="s">
        <v>466</v>
      </c>
      <c r="C122" s="55"/>
      <c r="D122" s="55"/>
      <c r="E122" s="55"/>
      <c r="F122" s="55"/>
      <c r="G122" s="55"/>
      <c r="H122" s="55"/>
      <c r="I122" s="55"/>
      <c r="J122" s="55"/>
      <c r="K122" s="55"/>
    </row>
    <row r="123" spans="1:12">
      <c r="B123" s="11" t="s">
        <v>441</v>
      </c>
    </row>
    <row r="124" spans="1:12">
      <c r="B124" s="840" t="s">
        <v>467</v>
      </c>
      <c r="C124" s="840"/>
      <c r="D124" s="840"/>
      <c r="E124" s="840"/>
      <c r="F124" s="840"/>
      <c r="G124" s="840"/>
      <c r="H124" s="840"/>
      <c r="I124" s="840"/>
      <c r="J124" s="840"/>
      <c r="K124" s="840"/>
    </row>
    <row r="125" spans="1:12">
      <c r="B125" s="840"/>
      <c r="C125" s="840"/>
      <c r="D125" s="840"/>
      <c r="E125" s="840"/>
      <c r="F125" s="840"/>
      <c r="G125" s="840"/>
      <c r="H125" s="840"/>
      <c r="I125" s="840"/>
      <c r="J125" s="840"/>
      <c r="K125" s="840"/>
    </row>
    <row r="126" spans="1:12">
      <c r="B126" s="841" t="s">
        <v>468</v>
      </c>
      <c r="C126" s="841"/>
      <c r="D126" s="841"/>
      <c r="E126" s="841"/>
      <c r="F126" s="841"/>
      <c r="G126" s="841"/>
      <c r="H126" s="841"/>
      <c r="I126" s="841"/>
      <c r="J126" s="841"/>
      <c r="K126" s="841"/>
    </row>
    <row r="129" spans="2:11">
      <c r="B129" s="16" t="s">
        <v>306</v>
      </c>
    </row>
    <row r="130" spans="2:11">
      <c r="B130" s="834" t="s">
        <v>469</v>
      </c>
      <c r="C130" s="834"/>
      <c r="D130" s="834"/>
      <c r="E130" s="834"/>
      <c r="F130" s="834"/>
      <c r="G130" s="834"/>
      <c r="H130" s="834"/>
      <c r="I130" s="834"/>
      <c r="J130" s="834"/>
      <c r="K130" s="834"/>
    </row>
    <row r="131" spans="2:11">
      <c r="B131" s="834"/>
      <c r="C131" s="834"/>
      <c r="D131" s="834"/>
      <c r="E131" s="834"/>
      <c r="F131" s="834"/>
      <c r="G131" s="834"/>
      <c r="H131" s="834"/>
      <c r="I131" s="834"/>
      <c r="J131" s="834"/>
      <c r="K131" s="834"/>
    </row>
    <row r="132" spans="2:11">
      <c r="B132" s="834" t="s">
        <v>470</v>
      </c>
      <c r="C132" s="834"/>
      <c r="D132" s="834"/>
      <c r="E132" s="834"/>
      <c r="F132" s="834"/>
      <c r="G132" s="834"/>
      <c r="H132" s="834"/>
      <c r="I132" s="834"/>
      <c r="J132" s="834"/>
      <c r="K132" s="834"/>
    </row>
    <row r="133" spans="2:11">
      <c r="B133" s="834"/>
      <c r="C133" s="834"/>
      <c r="D133" s="834"/>
      <c r="E133" s="834"/>
      <c r="F133" s="834"/>
      <c r="G133" s="834"/>
      <c r="H133" s="834"/>
      <c r="I133" s="834"/>
      <c r="J133" s="834"/>
      <c r="K133" s="834"/>
    </row>
    <row r="134" spans="2:11" ht="15" customHeight="1">
      <c r="B134" s="834" t="s">
        <v>2108</v>
      </c>
      <c r="C134" s="834"/>
      <c r="D134" s="834"/>
      <c r="E134" s="834"/>
      <c r="F134" s="834"/>
      <c r="G134" s="834"/>
      <c r="H134" s="834"/>
      <c r="I134" s="834"/>
      <c r="J134" s="834"/>
      <c r="K134" s="834"/>
    </row>
    <row r="135" spans="2:11" ht="15" customHeight="1">
      <c r="B135" s="834" t="s">
        <v>2109</v>
      </c>
      <c r="C135" s="834"/>
      <c r="D135" s="834"/>
      <c r="E135" s="834"/>
      <c r="F135" s="834"/>
      <c r="G135" s="834"/>
      <c r="H135" s="834"/>
      <c r="I135" s="834"/>
      <c r="J135" s="834"/>
      <c r="K135" s="834"/>
    </row>
    <row r="136" spans="2:11">
      <c r="B136" s="834"/>
      <c r="C136" s="834"/>
      <c r="D136" s="834"/>
      <c r="E136" s="834"/>
      <c r="F136" s="834"/>
      <c r="G136" s="834"/>
      <c r="H136" s="834"/>
      <c r="I136" s="834"/>
      <c r="J136" s="834"/>
      <c r="K136" s="834"/>
    </row>
    <row r="137" spans="2:11">
      <c r="B137" s="835" t="s">
        <v>471</v>
      </c>
      <c r="C137" s="835"/>
      <c r="D137" s="835"/>
      <c r="E137" s="835"/>
      <c r="F137" s="835"/>
      <c r="G137" s="835"/>
      <c r="H137" s="835"/>
      <c r="I137" s="835"/>
      <c r="J137" s="835"/>
      <c r="K137" s="835"/>
    </row>
    <row r="138" spans="2:11">
      <c r="B138" s="835" t="s">
        <v>472</v>
      </c>
      <c r="C138" s="835"/>
      <c r="D138" s="835"/>
      <c r="E138" s="835"/>
      <c r="F138" s="835"/>
      <c r="G138" s="835"/>
      <c r="H138" s="835"/>
      <c r="I138" s="835"/>
      <c r="J138" s="835"/>
      <c r="K138" s="835"/>
    </row>
    <row r="139" spans="2:11">
      <c r="B139" s="834" t="s">
        <v>473</v>
      </c>
      <c r="C139" s="834"/>
      <c r="D139" s="834"/>
      <c r="E139" s="834"/>
      <c r="F139" s="834"/>
      <c r="G139" s="834"/>
      <c r="H139" s="834"/>
      <c r="I139" s="834"/>
      <c r="J139" s="834"/>
      <c r="K139" s="834"/>
    </row>
    <row r="140" spans="2:11">
      <c r="B140" s="834"/>
      <c r="C140" s="834"/>
      <c r="D140" s="834"/>
      <c r="E140" s="834"/>
      <c r="F140" s="834"/>
      <c r="G140" s="834"/>
      <c r="H140" s="834"/>
      <c r="I140" s="834"/>
      <c r="J140" s="834"/>
      <c r="K140" s="834"/>
    </row>
    <row r="141" spans="2:11">
      <c r="B141" s="835" t="s">
        <v>474</v>
      </c>
      <c r="C141" s="835"/>
      <c r="D141" s="835"/>
      <c r="E141" s="835"/>
      <c r="F141" s="835"/>
      <c r="G141" s="835"/>
      <c r="H141" s="835"/>
      <c r="I141" s="835"/>
      <c r="J141" s="835"/>
      <c r="K141" s="835"/>
    </row>
    <row r="142" spans="2:11">
      <c r="B142" s="835" t="s">
        <v>2110</v>
      </c>
      <c r="C142" s="835"/>
      <c r="D142" s="835"/>
      <c r="E142" s="835"/>
      <c r="F142" s="835"/>
      <c r="G142" s="835"/>
      <c r="H142" s="835"/>
      <c r="I142" s="835"/>
      <c r="J142" s="835"/>
      <c r="K142" s="835"/>
    </row>
    <row r="143" spans="2:11">
      <c r="B143" s="834" t="s">
        <v>2111</v>
      </c>
      <c r="C143" s="834"/>
      <c r="D143" s="834"/>
      <c r="E143" s="834"/>
      <c r="F143" s="834"/>
      <c r="G143" s="834"/>
      <c r="H143" s="834"/>
      <c r="I143" s="834"/>
      <c r="J143" s="834"/>
      <c r="K143" s="834"/>
    </row>
    <row r="144" spans="2:11">
      <c r="B144" s="834"/>
      <c r="C144" s="834"/>
      <c r="D144" s="834"/>
      <c r="E144" s="834"/>
      <c r="F144" s="834"/>
      <c r="G144" s="834"/>
      <c r="H144" s="834"/>
      <c r="I144" s="834"/>
      <c r="J144" s="834"/>
      <c r="K144" s="834"/>
    </row>
    <row r="145" spans="2:11">
      <c r="B145" s="835" t="s">
        <v>2112</v>
      </c>
      <c r="C145" s="835"/>
      <c r="D145" s="835"/>
      <c r="E145" s="835"/>
      <c r="F145" s="835"/>
      <c r="G145" s="835"/>
      <c r="H145" s="835"/>
      <c r="I145" s="835"/>
      <c r="J145" s="835"/>
      <c r="K145" s="835"/>
    </row>
    <row r="146" spans="2:11" ht="15" customHeight="1">
      <c r="B146" s="840" t="s">
        <v>475</v>
      </c>
      <c r="C146" s="840"/>
      <c r="D146" s="840"/>
      <c r="E146" s="840"/>
      <c r="F146" s="840"/>
      <c r="G146" s="840"/>
      <c r="H146" s="840"/>
      <c r="I146" s="840"/>
      <c r="J146" s="840"/>
      <c r="K146" s="840"/>
    </row>
    <row r="147" spans="2:11">
      <c r="B147" s="834" t="s">
        <v>476</v>
      </c>
      <c r="C147" s="834"/>
      <c r="D147" s="834"/>
      <c r="E147" s="834"/>
      <c r="F147" s="834"/>
      <c r="G147" s="834"/>
      <c r="H147" s="834"/>
      <c r="I147" s="834"/>
      <c r="J147" s="834"/>
      <c r="K147" s="834"/>
    </row>
    <row r="160" spans="2:11">
      <c r="J160">
        <f>E160-D160</f>
        <v>0</v>
      </c>
    </row>
  </sheetData>
  <mergeCells count="22">
    <mergeCell ref="B143:K144"/>
    <mergeCell ref="B145:K145"/>
    <mergeCell ref="B146:K146"/>
    <mergeCell ref="B147:K147"/>
    <mergeCell ref="B135:K136"/>
    <mergeCell ref="B137:K137"/>
    <mergeCell ref="B138:K138"/>
    <mergeCell ref="B139:K140"/>
    <mergeCell ref="B141:K141"/>
    <mergeCell ref="B142:K142"/>
    <mergeCell ref="B134:K134"/>
    <mergeCell ref="B6:K6"/>
    <mergeCell ref="B7:K7"/>
    <mergeCell ref="B31:K32"/>
    <mergeCell ref="B33:K33"/>
    <mergeCell ref="B72:K73"/>
    <mergeCell ref="B99:K99"/>
    <mergeCell ref="B100:K100"/>
    <mergeCell ref="B124:K125"/>
    <mergeCell ref="B126:K126"/>
    <mergeCell ref="B130:K131"/>
    <mergeCell ref="B132:K133"/>
  </mergeCells>
  <printOptions horizontalCentered="1"/>
  <pageMargins left="1" right="1" top="1" bottom="1" header="0.5" footer="0.5"/>
  <pageSetup scale="62" fitToHeight="0" orientation="landscape" cellComments="asDisplayed" r:id="rId1"/>
  <headerFooter alignWithMargins="0">
    <oddHeader xml:space="preserve">&amp;C&amp;"-,Bold"Pacific Gas and Electric Company
Formula Rate Model
Schedule &amp;A
&amp;R&amp;10Docket No. ER19-13-000, et al- Annual Update RY2024
&amp;F
</oddHeader>
  </headerFooter>
  <rowBreaks count="1" manualBreakCount="1">
    <brk id="95"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484B1948D3DF418AE6D26693B16E3C" ma:contentTypeVersion="6" ma:contentTypeDescription="Create a new document." ma:contentTypeScope="" ma:versionID="fb625b1568ad56010b75bd1ad5e0c544">
  <xsd:schema xmlns:xsd="http://www.w3.org/2001/XMLSchema" xmlns:xs="http://www.w3.org/2001/XMLSchema" xmlns:p="http://schemas.microsoft.com/office/2006/metadata/properties" xmlns:ns2="97e57212-3e02-407f-8b2d-05f7d7f19b15" xmlns:ns3="e0c7f853-b085-466f-a3cc-a09637d61b9a" xmlns:ns4="000ca74d-c1c7-4d8f-83c5-7262d4568d2b" targetNamespace="http://schemas.microsoft.com/office/2006/metadata/properties" ma:root="true" ma:fieldsID="5a90fdd73bceb1764baaffcb7a3c64fa" ns2:_="" ns3:_="" ns4:_="">
    <xsd:import namespace="97e57212-3e02-407f-8b2d-05f7d7f19b15"/>
    <xsd:import namespace="e0c7f853-b085-466f-a3cc-a09637d61b9a"/>
    <xsd:import namespace="000ca74d-c1c7-4d8f-83c5-7262d4568d2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SearchPropertie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e4169e0-c5cd-4b95-9d9a-d0e3977c2104}" ma:internalName="TaxCatchAll" ma:showField="CatchAllData"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e4169e0-c5cd-4b95-9d9a-d0e3977c2104}" ma:internalName="TaxCatchAllLabel" ma:readOnly="true" ma:showField="CatchAllDataLabel"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0c7f853-b085-466f-a3cc-a09637d61b9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0ca74d-c1c7-4d8f-83c5-7262d4568d2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3.xml><?xml version="1.0" encoding="utf-8"?>
<?mso-contentType ?>
<SharedContentType xmlns="Microsoft.SharePoint.Taxonomy.ContentTypeSync" SourceId="b06c99b3-cd83-43e5-b4c1-d62f316c1e37" ContentTypeId="0x0101" PreviousValue="false" LastSyncTimeStamp="2020-01-27T23:41:31.003Z"/>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2EBD44-CF05-45F0-99C5-A74F81C7D3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0c7f853-b085-466f-a3cc-a09637d61b9a"/>
    <ds:schemaRef ds:uri="000ca74d-c1c7-4d8f-83c5-7262d4568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8CDF2E-51A9-4EE3-9FB5-853DE92D28AB}">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e0c7f853-b085-466f-a3cc-a09637d61b9a"/>
    <ds:schemaRef ds:uri="http://schemas.microsoft.com/office/infopath/2007/PartnerControls"/>
    <ds:schemaRef ds:uri="000ca74d-c1c7-4d8f-83c5-7262d4568d2b"/>
    <ds:schemaRef ds:uri="97e57212-3e02-407f-8b2d-05f7d7f19b15"/>
    <ds:schemaRef ds:uri="http://www.w3.org/XML/1998/namespace"/>
  </ds:schemaRefs>
</ds:datastoreItem>
</file>

<file path=customXml/itemProps3.xml><?xml version="1.0" encoding="utf-8"?>
<ds:datastoreItem xmlns:ds="http://schemas.openxmlformats.org/officeDocument/2006/customXml" ds:itemID="{7FBC5A06-61E0-4AD3-9AA2-3C80DFAD2D27}">
  <ds:schemaRefs>
    <ds:schemaRef ds:uri="Microsoft.SharePoint.Taxonomy.ContentTypeSync"/>
  </ds:schemaRefs>
</ds:datastoreItem>
</file>

<file path=customXml/itemProps4.xml><?xml version="1.0" encoding="utf-8"?>
<ds:datastoreItem xmlns:ds="http://schemas.openxmlformats.org/officeDocument/2006/customXml" ds:itemID="{1FD4CBE4-58C8-40B6-AB6E-602FB3E1C0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45</vt:i4>
      </vt:variant>
      <vt:variant>
        <vt:lpstr>Named Ranges</vt:lpstr>
      </vt:variant>
      <vt:variant>
        <vt:i4>43</vt:i4>
      </vt:variant>
    </vt:vector>
  </HeadingPairs>
  <TitlesOfParts>
    <vt:vector size="88" baseType="lpstr">
      <vt:lpstr>Cover Page</vt:lpstr>
      <vt:lpstr>ToC</vt:lpstr>
      <vt:lpstr>Formatting and References</vt:lpstr>
      <vt:lpstr>1-BaseTRR</vt:lpstr>
      <vt:lpstr>2-ITRR</vt:lpstr>
      <vt:lpstr>3-True-upTRR Corrected V1</vt:lpstr>
      <vt:lpstr>3-True-upTRR Original</vt:lpstr>
      <vt:lpstr>4-ATA Corrected V1</vt:lpstr>
      <vt:lpstr>4-ATA Original</vt:lpstr>
      <vt:lpstr>5-CostofCap-1 Corrected V1</vt:lpstr>
      <vt:lpstr>5-CostofCap-1 Original</vt:lpstr>
      <vt:lpstr>5-CostofCap-2 Corrected V1</vt:lpstr>
      <vt:lpstr>5-CostofCap-2 Original</vt:lpstr>
      <vt:lpstr>5-CostofCap-3</vt:lpstr>
      <vt:lpstr>5-CostofCap-4</vt:lpstr>
      <vt:lpstr>6-PlantJurisdiction</vt:lpstr>
      <vt:lpstr>7-PlantInService</vt:lpstr>
      <vt:lpstr>8-AbandonedPlant</vt:lpstr>
      <vt:lpstr>9-PlantAdditions</vt:lpstr>
      <vt:lpstr>10-AccDep</vt:lpstr>
      <vt:lpstr>11-Depreciation</vt:lpstr>
      <vt:lpstr>12-DepRates</vt:lpstr>
      <vt:lpstr>13-WorkCap</vt:lpstr>
      <vt:lpstr>14-ADIT</vt:lpstr>
      <vt:lpstr>15-NUC</vt:lpstr>
      <vt:lpstr>16-UnfundedReserves CorrectedV1</vt:lpstr>
      <vt:lpstr>16-UnfundedReserves Original</vt:lpstr>
      <vt:lpstr>17-RegAssets-1</vt:lpstr>
      <vt:lpstr>17-RegAssets-2</vt:lpstr>
      <vt:lpstr>17-RegAssets-3</vt:lpstr>
      <vt:lpstr>18-OandM</vt:lpstr>
      <vt:lpstr>19-AandG Corrected V1</vt:lpstr>
      <vt:lpstr>19-AandG original</vt:lpstr>
      <vt:lpstr>20-RevenueCredits Corrected V1</vt:lpstr>
      <vt:lpstr>20-RevenueCredits Original</vt:lpstr>
      <vt:lpstr>21-NPandS</vt:lpstr>
      <vt:lpstr>22-TaxRates</vt:lpstr>
      <vt:lpstr>23-RetailSGTax</vt:lpstr>
      <vt:lpstr>24-Allocators</vt:lpstr>
      <vt:lpstr>25-RFandUFactors</vt:lpstr>
      <vt:lpstr>26-WholesaleTRRs</vt:lpstr>
      <vt:lpstr>27-WholesaleRates</vt:lpstr>
      <vt:lpstr>28-GrossLoad</vt:lpstr>
      <vt:lpstr>29-RetailRates-1</vt:lpstr>
      <vt:lpstr>29-RetailRates-2</vt:lpstr>
      <vt:lpstr>'10-AccDep'!Print_Area</vt:lpstr>
      <vt:lpstr>'13-WorkCap'!Print_Area</vt:lpstr>
      <vt:lpstr>'14-ADIT'!Print_Area</vt:lpstr>
      <vt:lpstr>'15-NUC'!Print_Area</vt:lpstr>
      <vt:lpstr>'17-RegAssets-1'!Print_Area</vt:lpstr>
      <vt:lpstr>'18-OandM'!Print_Area</vt:lpstr>
      <vt:lpstr>'19-AandG Corrected V1'!Print_Area</vt:lpstr>
      <vt:lpstr>'19-AandG original'!Print_Area</vt:lpstr>
      <vt:lpstr>'20-RevenueCredits Corrected V1'!Print_Area</vt:lpstr>
      <vt:lpstr>'20-RevenueCredits Original'!Print_Area</vt:lpstr>
      <vt:lpstr>'21-NPandS'!Print_Area</vt:lpstr>
      <vt:lpstr>'22-TaxRates'!Print_Area</vt:lpstr>
      <vt:lpstr>'23-RetailSGTax'!Print_Area</vt:lpstr>
      <vt:lpstr>'24-Allocators'!Print_Area</vt:lpstr>
      <vt:lpstr>'25-RFandUFactors'!Print_Area</vt:lpstr>
      <vt:lpstr>'26-WholesaleTRRs'!Print_Area</vt:lpstr>
      <vt:lpstr>'28-GrossLoad'!Print_Area</vt:lpstr>
      <vt:lpstr>'2-ITRR'!Print_Area</vt:lpstr>
      <vt:lpstr>'3-True-upTRR Corrected V1'!Print_Area</vt:lpstr>
      <vt:lpstr>'3-True-upTRR Original'!Print_Area</vt:lpstr>
      <vt:lpstr>'4-ATA Corrected V1'!Print_Area</vt:lpstr>
      <vt:lpstr>'4-ATA Original'!Print_Area</vt:lpstr>
      <vt:lpstr>'5-CostofCap-1 Corrected V1'!Print_Area</vt:lpstr>
      <vt:lpstr>'5-CostofCap-1 Original'!Print_Area</vt:lpstr>
      <vt:lpstr>'5-CostofCap-2 Corrected V1'!Print_Area</vt:lpstr>
      <vt:lpstr>'5-CostofCap-2 Original'!Print_Area</vt:lpstr>
      <vt:lpstr>'5-CostofCap-3'!Print_Area</vt:lpstr>
      <vt:lpstr>'5-CostofCap-4'!Print_Area</vt:lpstr>
      <vt:lpstr>'6-PlantJurisdiction'!Print_Area</vt:lpstr>
      <vt:lpstr>'7-PlantInService'!Print_Area</vt:lpstr>
      <vt:lpstr>'8-AbandonedPlant'!Print_Area</vt:lpstr>
      <vt:lpstr>'Cover Page'!Print_Area</vt:lpstr>
      <vt:lpstr>'10-AccDep'!Print_Titles</vt:lpstr>
      <vt:lpstr>'11-Depreciation'!Print_Titles</vt:lpstr>
      <vt:lpstr>'13-WorkCap'!Print_Titles</vt:lpstr>
      <vt:lpstr>'14-ADIT'!Print_Titles</vt:lpstr>
      <vt:lpstr>'1-BaseTRR'!Print_Titles</vt:lpstr>
      <vt:lpstr>'3-True-upTRR Corrected V1'!Print_Titles</vt:lpstr>
      <vt:lpstr>'3-True-upTRR Original'!Print_Titles</vt:lpstr>
      <vt:lpstr>'4-ATA Corrected V1'!Print_Titles</vt:lpstr>
      <vt:lpstr>'4-ATA Original'!Print_Titles</vt:lpstr>
      <vt:lpstr>'7-PlantInService'!Print_Titles</vt:lpstr>
      <vt:lpstr>'9-PlantAdditions'!Print_Titles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2023-11-30T22:41:09Z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geRecordCategory">
    <vt:lpwstr/>
  </property>
  <property fmtid="{D5CDD505-2E9C-101B-9397-08002B2CF9AE}" pid="3" name="ContentTypeId">
    <vt:lpwstr>0x01010006484B1948D3DF418AE6D26693B16E3C</vt:lpwstr>
  </property>
</Properties>
</file>